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omments1.xml" ContentType="application/vnd.openxmlformats-officedocument.spreadsheetml.comments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S:\6003_Výstavba kanalizace - Kolomuty\#VÍCEPRÁCE\00_INVESTOR\00_Změnové listy_INVESTOR_projednané\6003_Jizera B_Dodatek D3 - úprava ZA - oprava 30.1.2023\"/>
    </mc:Choice>
  </mc:AlternateContent>
  <xr:revisionPtr revIDLastSave="0" documentId="13_ncr:1_{090C0B9F-41DD-4F1C-8C2F-33A271CAB72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A - Stoka A" sheetId="2" r:id="rId2"/>
    <sheet name="A1 - Stoka A1" sheetId="3" r:id="rId3"/>
    <sheet name="A2 - Stoka A2" sheetId="4" r:id="rId4"/>
    <sheet name="A3 - Stoka A3" sheetId="5" r:id="rId5"/>
    <sheet name="A4 - Stoka A4" sheetId="6" r:id="rId6"/>
    <sheet name="A5 - Stoka A5" sheetId="7" r:id="rId7"/>
    <sheet name="A6 - Stoka A6" sheetId="8" r:id="rId8"/>
    <sheet name="A7 - Stoka A7" sheetId="9" r:id="rId9"/>
    <sheet name="A8 - Stoka A8" sheetId="10" r:id="rId10"/>
    <sheet name="A9 - Stoka A9" sheetId="11" r:id="rId11"/>
    <sheet name="B - Stoka B" sheetId="12" r:id="rId12"/>
    <sheet name="B1 - Stoka B1" sheetId="13" r:id="rId13"/>
    <sheet name="B1.1 - Stoka B1.1" sheetId="14" r:id="rId14"/>
    <sheet name="B2 - Stoka B2" sheetId="15" r:id="rId15"/>
    <sheet name="B3 - Stoka B3" sheetId="16" r:id="rId16"/>
    <sheet name="B3.1 - Stoka B3.1" sheetId="17" r:id="rId17"/>
    <sheet name="B4 - Stoka B4" sheetId="18" r:id="rId18"/>
    <sheet name="B5 - Stoka B5" sheetId="19" r:id="rId19"/>
    <sheet name="B6 - Stoka B6" sheetId="20" r:id="rId20"/>
    <sheet name="B7 - Stoka B7" sheetId="21" r:id="rId21"/>
    <sheet name="B8 - Stoka B8" sheetId="22" r:id="rId22"/>
    <sheet name="C - Stoka C" sheetId="23" r:id="rId23"/>
    <sheet name="C1 - Stoka C1" sheetId="24" r:id="rId24"/>
    <sheet name="C2 - Stoka C2" sheetId="25" r:id="rId25"/>
    <sheet name="C2.1 - Stoka C2.1" sheetId="26" r:id="rId26"/>
    <sheet name="C2.2 - Stoka C2.2" sheetId="27" r:id="rId27"/>
    <sheet name="C2.3 - Stoka C2.3" sheetId="28" r:id="rId28"/>
    <sheet name="C3 - Stoka C3" sheetId="29" r:id="rId29"/>
    <sheet name="C4 - Stoka C4" sheetId="30" r:id="rId30"/>
    <sheet name="D - Stoka D" sheetId="31" r:id="rId31"/>
    <sheet name="E - Stoka E" sheetId="32" r:id="rId32"/>
    <sheet name="V - Veřejná část gravitač..." sheetId="33" r:id="rId33"/>
    <sheet name="SO 03.1 - ČSe - stavební ..." sheetId="34" r:id="rId34"/>
    <sheet name="SO 03.2 - Výtlačný řad Ve" sheetId="35" r:id="rId35"/>
    <sheet name="SO 03.3 - ČSe - přípojka nn" sheetId="36" r:id="rId36"/>
    <sheet name="PS 03.1 - ČSe - elektrote..." sheetId="37" r:id="rId37"/>
    <sheet name="PS 03.2 - ČSe - strojně -..." sheetId="38" r:id="rId38"/>
    <sheet name="VN - Vedlejší a ostatní n..." sheetId="39" r:id="rId39"/>
  </sheets>
  <definedNames>
    <definedName name="_xlnm._FilterDatabase" localSheetId="1" hidden="1">'A - Stoka A'!$C$10:$P$124</definedName>
    <definedName name="_xlnm._FilterDatabase" localSheetId="2" hidden="1">'A1 - Stoka A1'!$C$10:$P$74</definedName>
    <definedName name="_xlnm._FilterDatabase" localSheetId="3" hidden="1">'A2 - Stoka A2'!$C$10:$P$85</definedName>
    <definedName name="_xlnm._FilterDatabase" localSheetId="4" hidden="1">'A3 - Stoka A3'!$B$10:$P$80</definedName>
    <definedName name="_xlnm._FilterDatabase" localSheetId="5" hidden="1">'A4 - Stoka A4'!$B$10:$P$77</definedName>
    <definedName name="_xlnm._FilterDatabase" localSheetId="6" hidden="1">'A5 - Stoka A5'!$C$10:$P$84</definedName>
    <definedName name="_xlnm._FilterDatabase" localSheetId="7" hidden="1">'A6 - Stoka A6'!$C$10:$P$82</definedName>
    <definedName name="_xlnm._FilterDatabase" localSheetId="8" hidden="1">'A7 - Stoka A7'!$C$10:$P$100</definedName>
    <definedName name="_xlnm._FilterDatabase" localSheetId="9" hidden="1">'A8 - Stoka A8'!$C$10:$P$82</definedName>
    <definedName name="_xlnm._FilterDatabase" localSheetId="10" hidden="1">'A9 - Stoka A9'!$C$10:$P$77</definedName>
    <definedName name="_xlnm._FilterDatabase" localSheetId="11" hidden="1">'B - Stoka B'!$C$10:$P$121</definedName>
    <definedName name="_xlnm._FilterDatabase" localSheetId="12" hidden="1">'B1 - Stoka B1'!$C$10:$P$85</definedName>
    <definedName name="_xlnm._FilterDatabase" localSheetId="13" hidden="1">'B1.1 - Stoka B1.1'!$C$10:$P$80</definedName>
    <definedName name="_xlnm._FilterDatabase" localSheetId="14" hidden="1">'B2 - Stoka B2'!$C$10:$P$82</definedName>
    <definedName name="_xlnm._FilterDatabase" localSheetId="15" hidden="1">'B3 - Stoka B3'!$C$10:$P$102</definedName>
    <definedName name="_xlnm._FilterDatabase" localSheetId="16" hidden="1">'B3.1 - Stoka B3.1'!$C$10:$P$75</definedName>
    <definedName name="_xlnm._FilterDatabase" localSheetId="17" hidden="1">'B4 - Stoka B4'!$C$10:$P$83</definedName>
    <definedName name="_xlnm._FilterDatabase" localSheetId="18" hidden="1">'B5 - Stoka B5'!$C$10:$P$84</definedName>
    <definedName name="_xlnm._FilterDatabase" localSheetId="19" hidden="1">'B6 - Stoka B6'!$C$10:$P$84</definedName>
    <definedName name="_xlnm._FilterDatabase" localSheetId="20" hidden="1">'B7 - Stoka B7'!$A$10:$P$84</definedName>
    <definedName name="_xlnm._FilterDatabase" localSheetId="21" hidden="1">'B8 - Stoka B8'!$C$10:$P$82</definedName>
    <definedName name="_xlnm._FilterDatabase" localSheetId="22" hidden="1">'C - Stoka C'!$C$10:$P$97</definedName>
    <definedName name="_xlnm._FilterDatabase" localSheetId="23" hidden="1">'C1 - Stoka C1'!$C$10:$P$79</definedName>
    <definedName name="_xlnm._FilterDatabase" localSheetId="24" hidden="1">'C2 - Stoka C2'!$C$10:$P$90</definedName>
    <definedName name="_xlnm._FilterDatabase" localSheetId="25" hidden="1">'C2.1 - Stoka C2.1'!$C$10:$P$83</definedName>
    <definedName name="_xlnm._FilterDatabase" localSheetId="26" hidden="1">'C2.2 - Stoka C2.2'!$C$10:$P$81</definedName>
    <definedName name="_xlnm._FilterDatabase" localSheetId="27" hidden="1">'C2.3 - Stoka C2.3'!$C$10:$P$86</definedName>
    <definedName name="_xlnm._FilterDatabase" localSheetId="28" hidden="1">'C3 - Stoka C3'!$C$10:$P$83</definedName>
    <definedName name="_xlnm._FilterDatabase" localSheetId="29" hidden="1">'C4 - Stoka C4'!$C$10:$P$87</definedName>
    <definedName name="_xlnm._FilterDatabase" localSheetId="30" hidden="1">'D - Stoka D'!$C$10:$P$80</definedName>
    <definedName name="_xlnm._FilterDatabase" localSheetId="31" hidden="1">'E - Stoka E'!$C$10:$P$68</definedName>
    <definedName name="_xlnm._FilterDatabase" localSheetId="36" hidden="1">'PS 03.1 - ČSe - elektrote...'!$C$10:$BL$91</definedName>
    <definedName name="_xlnm._FilterDatabase" localSheetId="37" hidden="1">'PS 03.2 - ČSe - strojně -...'!$C$10:$BL$23</definedName>
    <definedName name="_xlnm._FilterDatabase" localSheetId="0" hidden="1">'Rekapitulace stavby'!$B$11:$H$57</definedName>
    <definedName name="_xlnm._FilterDatabase" localSheetId="33" hidden="1">'SO 03.1 - ČSe - stavební ...'!$C$10:$P$51</definedName>
    <definedName name="_xlnm._FilterDatabase" localSheetId="34" hidden="1">'SO 03.2 - Výtlačný řad Ve'!$C$10:$P$79</definedName>
    <definedName name="_xlnm._FilterDatabase" localSheetId="35" hidden="1">'SO 03.3 - ČSe - přípojka nn'!$C$10:$P$33</definedName>
    <definedName name="_xlnm._FilterDatabase" localSheetId="32" hidden="1">'V - Veřejná část gravitač...'!$C$10:$P$81</definedName>
    <definedName name="_xlnm._FilterDatabase" localSheetId="38" hidden="1">'VN - Vedlejší a ostatní n...'!$C$10:$BP$31</definedName>
    <definedName name="_xlnm.Print_Titles" localSheetId="1">'A - Stoka A'!$1:$11</definedName>
    <definedName name="_xlnm.Print_Titles" localSheetId="2">'A1 - Stoka A1'!#REF!</definedName>
    <definedName name="_xlnm.Print_Titles" localSheetId="3">'A2 - Stoka A2'!#REF!</definedName>
    <definedName name="_xlnm.Print_Titles" localSheetId="4">'A3 - Stoka A3'!$1:$11</definedName>
    <definedName name="_xlnm.Print_Titles" localSheetId="5">'A4 - Stoka A4'!#REF!</definedName>
    <definedName name="_xlnm.Print_Titles" localSheetId="6">'A5 - Stoka A5'!#REF!</definedName>
    <definedName name="_xlnm.Print_Titles" localSheetId="7">'A6 - Stoka A6'!#REF!</definedName>
    <definedName name="_xlnm.Print_Titles" localSheetId="8">'A7 - Stoka A7'!#REF!</definedName>
    <definedName name="_xlnm.Print_Titles" localSheetId="9">'A8 - Stoka A8'!#REF!</definedName>
    <definedName name="_xlnm.Print_Titles" localSheetId="10">'A9 - Stoka A9'!#REF!</definedName>
    <definedName name="_xlnm.Print_Titles" localSheetId="11">'B - Stoka B'!$1:$10</definedName>
    <definedName name="_xlnm.Print_Titles" localSheetId="12">'B1 - Stoka B1'!#REF!</definedName>
    <definedName name="_xlnm.Print_Titles" localSheetId="13">'B1.1 - Stoka B1.1'!#REF!</definedName>
    <definedName name="_xlnm.Print_Titles" localSheetId="14">'B2 - Stoka B2'!#REF!</definedName>
    <definedName name="_xlnm.Print_Titles" localSheetId="15">'B3 - Stoka B3'!#REF!</definedName>
    <definedName name="_xlnm.Print_Titles" localSheetId="16">'B3.1 - Stoka B3.1'!#REF!</definedName>
    <definedName name="_xlnm.Print_Titles" localSheetId="17">'B4 - Stoka B4'!$1:$11</definedName>
    <definedName name="_xlnm.Print_Titles" localSheetId="18">'B5 - Stoka B5'!#REF!</definedName>
    <definedName name="_xlnm.Print_Titles" localSheetId="19">'B6 - Stoka B6'!#REF!</definedName>
    <definedName name="_xlnm.Print_Titles" localSheetId="20">'B7 - Stoka B7'!#REF!</definedName>
    <definedName name="_xlnm.Print_Titles" localSheetId="21">'B8 - Stoka B8'!#REF!</definedName>
    <definedName name="_xlnm.Print_Titles" localSheetId="22">'C - Stoka C'!#REF!</definedName>
    <definedName name="_xlnm.Print_Titles" localSheetId="23">'C1 - Stoka C1'!#REF!</definedName>
    <definedName name="_xlnm.Print_Titles" localSheetId="24">'C2 - Stoka C2'!#REF!</definedName>
    <definedName name="_xlnm.Print_Titles" localSheetId="25">'C2.1 - Stoka C2.1'!#REF!</definedName>
    <definedName name="_xlnm.Print_Titles" localSheetId="26">'C2.2 - Stoka C2.2'!#REF!</definedName>
    <definedName name="_xlnm.Print_Titles" localSheetId="27">'C2.3 - Stoka C2.3'!#REF!</definedName>
    <definedName name="_xlnm.Print_Titles" localSheetId="28">'C3 - Stoka C3'!#REF!</definedName>
    <definedName name="_xlnm.Print_Titles" localSheetId="29">'C4 - Stoka C4'!#REF!</definedName>
    <definedName name="_xlnm.Print_Titles" localSheetId="30">'D - Stoka D'!#REF!</definedName>
    <definedName name="_xlnm.Print_Titles" localSheetId="31">'E - Stoka E'!#REF!</definedName>
    <definedName name="_xlnm.Print_Titles" localSheetId="36">'PS 03.1 - ČSe - elektrote...'!#REF!</definedName>
    <definedName name="_xlnm.Print_Titles" localSheetId="37">'PS 03.2 - ČSe - strojně -...'!#REF!</definedName>
    <definedName name="_xlnm.Print_Titles" localSheetId="0">'Rekapitulace stavby'!$1:$11</definedName>
    <definedName name="_xlnm.Print_Titles" localSheetId="33">'SO 03.1 - ČSe - stavební ...'!#REF!</definedName>
    <definedName name="_xlnm.Print_Titles" localSheetId="34">'SO 03.2 - Výtlačný řad Ve'!#REF!</definedName>
    <definedName name="_xlnm.Print_Titles" localSheetId="35">'SO 03.3 - ČSe - přípojka nn'!#REF!</definedName>
    <definedName name="_xlnm.Print_Titles" localSheetId="32">'V - Veřejná část gravitač...'!#REF!</definedName>
    <definedName name="_xlnm.Print_Titles" localSheetId="38">'VN - Vedlejší a ostatní n...'!#REF!</definedName>
    <definedName name="_xlnm.Print_Area" localSheetId="1">'A - Stoka A'!$B$1:$AV$128</definedName>
    <definedName name="_xlnm.Print_Area" localSheetId="2">'A1 - Stoka A1'!$B$1:$P$78</definedName>
    <definedName name="_xlnm.Print_Area" localSheetId="3">'A2 - Stoka A2'!$B$1:$P$89</definedName>
    <definedName name="_xlnm.Print_Area" localSheetId="4">'A3 - Stoka A3'!$B$1:$P$84</definedName>
    <definedName name="_xlnm.Print_Area" localSheetId="5">'A4 - Stoka A4'!$A$1:$P$81</definedName>
    <definedName name="_xlnm.Print_Area" localSheetId="6">'A5 - Stoka A5'!$B$1:$P$88</definedName>
    <definedName name="_xlnm.Print_Area" localSheetId="7">'A6 - Stoka A6'!$B$1:$P$86</definedName>
    <definedName name="_xlnm.Print_Area" localSheetId="8">'A7 - Stoka A7'!$C$1:$P$104</definedName>
    <definedName name="_xlnm.Print_Area" localSheetId="9">'A8 - Stoka A8'!$B$1:$P$86</definedName>
    <definedName name="_xlnm.Print_Area" localSheetId="10">'A9 - Stoka A9'!$B$1:$P$81</definedName>
    <definedName name="_xlnm.Print_Area" localSheetId="11">'B - Stoka B'!$B$1:$P$125</definedName>
    <definedName name="_xlnm.Print_Area" localSheetId="12">'B1 - Stoka B1'!$B$1:$P$89</definedName>
    <definedName name="_xlnm.Print_Area" localSheetId="13">'B1.1 - Stoka B1.1'!$B$1:$P$84</definedName>
    <definedName name="_xlnm.Print_Area" localSheetId="14">'B2 - Stoka B2'!$B$1:$P$86</definedName>
    <definedName name="_xlnm.Print_Area" localSheetId="15">'B3 - Stoka B3'!$B$1:$P$107</definedName>
    <definedName name="_xlnm.Print_Area" localSheetId="16">'B3.1 - Stoka B3.1'!$B$1:$P$79</definedName>
    <definedName name="_xlnm.Print_Area" localSheetId="17">'B4 - Stoka B4'!$B$1:$P$87</definedName>
    <definedName name="_xlnm.Print_Area" localSheetId="18">'B5 - Stoka B5'!$B$1:$P$88</definedName>
    <definedName name="_xlnm.Print_Area" localSheetId="19">'B6 - Stoka B6'!$B$1:$P$88</definedName>
    <definedName name="_xlnm.Print_Area" localSheetId="20">'B7 - Stoka B7'!$C$1:$P$88</definedName>
    <definedName name="_xlnm.Print_Area" localSheetId="21">'B8 - Stoka B8'!$B$1:$P$86</definedName>
    <definedName name="_xlnm.Print_Area" localSheetId="22">'C - Stoka C'!$B$1:$AQ$101</definedName>
    <definedName name="_xlnm.Print_Area" localSheetId="23">'C1 - Stoka C1'!$B$1:$P$83</definedName>
    <definedName name="_xlnm.Print_Area" localSheetId="24">'C2 - Stoka C2'!$B$1:$AA$94</definedName>
    <definedName name="_xlnm.Print_Area" localSheetId="25">'C2.1 - Stoka C2.1'!$B$1:$P$83</definedName>
    <definedName name="_xlnm.Print_Area" localSheetId="26">'C2.2 - Stoka C2.2'!$B$1:$P$85</definedName>
    <definedName name="_xlnm.Print_Area" localSheetId="27">'C2.3 - Stoka C2.3'!$B$1:$P$90</definedName>
    <definedName name="_xlnm.Print_Area" localSheetId="28">'C3 - Stoka C3'!$B$1:$P$87</definedName>
    <definedName name="_xlnm.Print_Area" localSheetId="29">'C4 - Stoka C4'!$B$1:$P$91</definedName>
    <definedName name="_xlnm.Print_Area" localSheetId="30">'D - Stoka D'!$B$1:$P$84</definedName>
    <definedName name="_xlnm.Print_Area" localSheetId="31">'E - Stoka E'!$B$1:$P$72</definedName>
    <definedName name="_xlnm.Print_Area" localSheetId="36">'PS 03.1 - ČSe - elektrote...'!$B$1:$BL$95</definedName>
    <definedName name="_xlnm.Print_Area" localSheetId="37">'PS 03.2 - ČSe - strojně -...'!$B$1:$BL$27</definedName>
    <definedName name="_xlnm.Print_Area" localSheetId="0">'Rekapitulace stavby'!$A$1:$J$64</definedName>
    <definedName name="_xlnm.Print_Area" localSheetId="33">'SO 03.1 - ČSe - stavební ...'!$B$1:$P$55</definedName>
    <definedName name="_xlnm.Print_Area" localSheetId="34">'SO 03.2 - Výtlačný řad Ve'!$B$1:$P$79</definedName>
    <definedName name="_xlnm.Print_Area" localSheetId="35">'SO 03.3 - ČSe - přípojka nn'!$B$1:$P$33</definedName>
    <definedName name="_xlnm.Print_Area" localSheetId="32">'V - Veřejná část gravitač...'!$B$1:$AQ$85</definedName>
    <definedName name="_xlnm.Print_Area" localSheetId="38">'VN - Vedlejší a ostatní n...'!$B$1:$CM$35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0" i="2" l="1"/>
  <c r="F53" i="1"/>
  <c r="Q66" i="9"/>
  <c r="Q65" i="9"/>
  <c r="O16" i="36" l="1"/>
  <c r="O17" i="36"/>
  <c r="O18" i="36"/>
  <c r="O19" i="36"/>
  <c r="O20" i="36"/>
  <c r="O21" i="36"/>
  <c r="O22" i="36"/>
  <c r="O23" i="36"/>
  <c r="O24" i="36"/>
  <c r="O25" i="36"/>
  <c r="O26" i="36"/>
  <c r="O27" i="36"/>
  <c r="O28" i="36"/>
  <c r="O29" i="36"/>
  <c r="O15" i="36"/>
  <c r="N16" i="36"/>
  <c r="N17" i="36"/>
  <c r="N18" i="36"/>
  <c r="N19" i="36"/>
  <c r="N20" i="36"/>
  <c r="N21" i="36"/>
  <c r="N22" i="36"/>
  <c r="N23" i="36"/>
  <c r="N24" i="36"/>
  <c r="N25" i="36"/>
  <c r="N26" i="36"/>
  <c r="N27" i="36"/>
  <c r="N28" i="36"/>
  <c r="N29" i="36"/>
  <c r="N15" i="36"/>
  <c r="L16" i="36"/>
  <c r="L17" i="36"/>
  <c r="L18" i="36"/>
  <c r="L19" i="36"/>
  <c r="L20" i="36"/>
  <c r="L21" i="36"/>
  <c r="L22" i="36"/>
  <c r="L23" i="36"/>
  <c r="L24" i="36"/>
  <c r="L25" i="36"/>
  <c r="L26" i="36"/>
  <c r="L27" i="36"/>
  <c r="L28" i="36"/>
  <c r="L29" i="36"/>
  <c r="L15" i="36"/>
  <c r="K102" i="16"/>
  <c r="L31" i="36" l="1"/>
  <c r="O31" i="36"/>
  <c r="K18" i="32"/>
  <c r="K19" i="32"/>
  <c r="K20" i="32"/>
  <c r="K21" i="32"/>
  <c r="K22" i="32"/>
  <c r="K23" i="32"/>
  <c r="K24" i="32"/>
  <c r="K25" i="32"/>
  <c r="K26" i="32"/>
  <c r="K27" i="32"/>
  <c r="K28" i="32"/>
  <c r="K29" i="32"/>
  <c r="K30" i="32"/>
  <c r="K31" i="32"/>
  <c r="K32" i="32"/>
  <c r="K33" i="32"/>
  <c r="K17" i="32"/>
  <c r="Q15" i="32"/>
  <c r="Q16" i="32"/>
  <c r="Q17" i="32"/>
  <c r="Q18" i="32"/>
  <c r="Q19" i="32"/>
  <c r="Q20" i="32"/>
  <c r="Q21" i="32"/>
  <c r="Q22" i="32"/>
  <c r="Q23" i="32"/>
  <c r="Q24" i="32"/>
  <c r="Q25" i="32"/>
  <c r="Q26" i="32"/>
  <c r="Q27" i="32"/>
  <c r="Q28" i="32"/>
  <c r="Q29" i="32"/>
  <c r="Q30" i="32"/>
  <c r="Q31" i="32"/>
  <c r="Q32" i="32"/>
  <c r="Q33" i="32"/>
  <c r="Q34" i="32"/>
  <c r="Q35" i="32"/>
  <c r="Q36" i="32"/>
  <c r="Q37" i="32"/>
  <c r="Q38" i="32"/>
  <c r="Q39" i="32"/>
  <c r="Q40" i="32"/>
  <c r="Q41" i="32"/>
  <c r="Q42" i="32"/>
  <c r="Q43" i="32"/>
  <c r="Q44" i="32"/>
  <c r="Q45" i="32"/>
  <c r="Q46" i="32"/>
  <c r="Q47" i="32"/>
  <c r="Q48" i="32"/>
  <c r="Q49" i="32"/>
  <c r="Q50" i="32"/>
  <c r="Q51" i="32"/>
  <c r="Q52" i="32"/>
  <c r="Q53" i="32"/>
  <c r="Q54" i="32"/>
  <c r="Q55" i="32"/>
  <c r="Q56" i="32"/>
  <c r="Q57" i="32"/>
  <c r="Q58" i="32"/>
  <c r="Q59" i="32"/>
  <c r="Q60" i="32"/>
  <c r="Q61" i="32"/>
  <c r="Q62" i="32"/>
  <c r="Q63" i="32"/>
  <c r="Q64" i="32"/>
  <c r="Q65" i="32"/>
  <c r="Q66" i="32"/>
  <c r="Q67" i="32"/>
  <c r="Q68" i="32"/>
  <c r="AW83" i="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105" i="12"/>
  <c r="A106" i="12"/>
  <c r="A107" i="12"/>
  <c r="A108" i="12"/>
  <c r="A109" i="12"/>
  <c r="A110" i="12"/>
  <c r="A111" i="12"/>
  <c r="A112" i="12"/>
  <c r="A113" i="12"/>
  <c r="A114" i="12"/>
  <c r="A115" i="12"/>
  <c r="A116" i="12"/>
  <c r="A117" i="12"/>
  <c r="A118" i="12"/>
  <c r="A119" i="12"/>
  <c r="A120" i="12"/>
  <c r="A121" i="12"/>
  <c r="A15" i="12"/>
  <c r="A123" i="12" s="1"/>
  <c r="K23" i="33" l="1"/>
  <c r="K22" i="33"/>
  <c r="I57" i="1"/>
  <c r="K43" i="33"/>
  <c r="K42" i="33"/>
  <c r="K41" i="33"/>
  <c r="K40" i="33"/>
  <c r="K39" i="33"/>
  <c r="K38" i="33"/>
  <c r="K37" i="33"/>
  <c r="K36" i="33"/>
  <c r="K35" i="33"/>
  <c r="K34" i="33"/>
  <c r="K33" i="33"/>
  <c r="K32" i="33"/>
  <c r="K31" i="33"/>
  <c r="K30" i="33"/>
  <c r="K29" i="33"/>
  <c r="K28" i="33"/>
  <c r="K19" i="33"/>
  <c r="K17" i="33"/>
  <c r="K18" i="33"/>
  <c r="K16" i="33"/>
  <c r="K48" i="33"/>
  <c r="K47" i="33"/>
  <c r="K51" i="33"/>
  <c r="K50" i="33"/>
  <c r="K66" i="33"/>
  <c r="K65" i="33"/>
  <c r="K81" i="33"/>
  <c r="K79" i="33"/>
  <c r="K77" i="33"/>
  <c r="K76" i="33"/>
  <c r="K70" i="33"/>
  <c r="K66" i="9"/>
  <c r="K25" i="16"/>
  <c r="K24" i="16"/>
  <c r="K23" i="16"/>
  <c r="K31" i="16"/>
  <c r="K32" i="16"/>
  <c r="K33" i="16"/>
  <c r="K35" i="16"/>
  <c r="K37" i="16"/>
  <c r="K39" i="16"/>
  <c r="K40" i="16"/>
  <c r="K41" i="16"/>
  <c r="K42" i="16"/>
  <c r="K43" i="16"/>
  <c r="K44" i="16"/>
  <c r="K45" i="16"/>
  <c r="K46" i="16"/>
  <c r="K47" i="16"/>
  <c r="K52" i="16"/>
  <c r="K60" i="16"/>
  <c r="K61" i="16"/>
  <c r="K100" i="16"/>
  <c r="K98" i="16"/>
  <c r="K78" i="16"/>
  <c r="K70" i="16"/>
  <c r="K26" i="11" l="1"/>
  <c r="F56" i="1" l="1"/>
  <c r="F55" i="1"/>
  <c r="F51" i="1"/>
  <c r="H46" i="1"/>
  <c r="F46" i="1"/>
  <c r="J46" i="1" s="1"/>
  <c r="H45" i="1"/>
  <c r="F45" i="1"/>
  <c r="J45" i="1" s="1"/>
  <c r="H44" i="1"/>
  <c r="F44" i="1"/>
  <c r="J44" i="1" s="1"/>
  <c r="H43" i="1"/>
  <c r="F43" i="1"/>
  <c r="J43" i="1" s="1"/>
  <c r="H42" i="1"/>
  <c r="F42" i="1"/>
  <c r="J42" i="1" s="1"/>
  <c r="H41" i="1"/>
  <c r="F41" i="1"/>
  <c r="J41" i="1" s="1"/>
  <c r="H40" i="1"/>
  <c r="F40" i="1"/>
  <c r="J40" i="1" s="1"/>
  <c r="H39" i="1"/>
  <c r="F39" i="1"/>
  <c r="J39" i="1" s="1"/>
  <c r="H38" i="1"/>
  <c r="F38" i="1"/>
  <c r="J38" i="1" s="1"/>
  <c r="H37" i="1"/>
  <c r="F37" i="1"/>
  <c r="J37" i="1" s="1"/>
  <c r="H36" i="1"/>
  <c r="F36" i="1"/>
  <c r="J36" i="1" s="1"/>
  <c r="H35" i="1"/>
  <c r="F35" i="1"/>
  <c r="J35" i="1" s="1"/>
  <c r="H34" i="1"/>
  <c r="F34" i="1"/>
  <c r="J34" i="1" s="1"/>
  <c r="H33" i="1"/>
  <c r="F33" i="1"/>
  <c r="J33" i="1" s="1"/>
  <c r="H32" i="1"/>
  <c r="F32" i="1"/>
  <c r="J32" i="1" s="1"/>
  <c r="M14" i="15"/>
  <c r="M36" i="15"/>
  <c r="M39" i="15"/>
  <c r="M47" i="15"/>
  <c r="M53" i="15"/>
  <c r="M74" i="15"/>
  <c r="P77" i="15"/>
  <c r="M77" i="15"/>
  <c r="M15" i="15"/>
  <c r="M16" i="15"/>
  <c r="M17" i="15"/>
  <c r="M18" i="15"/>
  <c r="M19" i="15"/>
  <c r="M20" i="15"/>
  <c r="M21" i="15"/>
  <c r="M22" i="15"/>
  <c r="M23" i="15"/>
  <c r="M24" i="15"/>
  <c r="M25" i="15"/>
  <c r="M26" i="15"/>
  <c r="M27" i="15"/>
  <c r="M28" i="15"/>
  <c r="M29" i="15"/>
  <c r="M30" i="15"/>
  <c r="M31" i="15"/>
  <c r="M32" i="15"/>
  <c r="M33" i="15"/>
  <c r="M34" i="15"/>
  <c r="M35" i="15"/>
  <c r="M37" i="15"/>
  <c r="M38" i="15"/>
  <c r="M40" i="15"/>
  <c r="M41" i="15"/>
  <c r="M42" i="15"/>
  <c r="M43" i="15"/>
  <c r="M44" i="15"/>
  <c r="M45" i="15"/>
  <c r="M46" i="15"/>
  <c r="M48" i="15"/>
  <c r="M49" i="15"/>
  <c r="M50" i="15"/>
  <c r="M51" i="15"/>
  <c r="M52" i="15"/>
  <c r="M54" i="15"/>
  <c r="M55" i="15"/>
  <c r="M56" i="15"/>
  <c r="M57" i="15"/>
  <c r="M58" i="15"/>
  <c r="M59" i="15"/>
  <c r="M60" i="15"/>
  <c r="M61" i="15"/>
  <c r="M62" i="15"/>
  <c r="M63" i="15"/>
  <c r="M64" i="15"/>
  <c r="M65" i="15"/>
  <c r="M66" i="15"/>
  <c r="M67" i="15"/>
  <c r="M68" i="15"/>
  <c r="M69" i="15"/>
  <c r="M70" i="15"/>
  <c r="M71" i="15"/>
  <c r="M72" i="15"/>
  <c r="M73" i="15"/>
  <c r="M75" i="15"/>
  <c r="M76" i="15"/>
  <c r="M78" i="15"/>
  <c r="M79" i="15"/>
  <c r="M80" i="15"/>
  <c r="M81" i="15"/>
  <c r="P81" i="15"/>
  <c r="M82" i="15"/>
  <c r="H29" i="1"/>
  <c r="F29" i="1"/>
  <c r="J29" i="1" s="1"/>
  <c r="H28" i="1"/>
  <c r="F28" i="1"/>
  <c r="J28" i="1" s="1"/>
  <c r="H25" i="1"/>
  <c r="F25" i="1"/>
  <c r="J25" i="1" s="1"/>
  <c r="H23" i="1"/>
  <c r="F23" i="1"/>
  <c r="J23" i="1" s="1"/>
  <c r="H22" i="1"/>
  <c r="F22" i="1"/>
  <c r="J22" i="1" s="1"/>
  <c r="H21" i="1"/>
  <c r="F21" i="1"/>
  <c r="J21" i="1" s="1"/>
  <c r="H20" i="1"/>
  <c r="F20" i="1"/>
  <c r="J20" i="1" s="1"/>
  <c r="H18" i="1"/>
  <c r="F18" i="1"/>
  <c r="J18" i="1" s="1"/>
  <c r="K75" i="35"/>
  <c r="K16" i="35"/>
  <c r="Q16" i="35"/>
  <c r="Q17" i="35"/>
  <c r="Q18" i="35"/>
  <c r="Q19" i="35"/>
  <c r="K19" i="35" s="1"/>
  <c r="N19" i="35" s="1"/>
  <c r="P19" i="35" s="1"/>
  <c r="Q20" i="35"/>
  <c r="K20" i="35" s="1"/>
  <c r="N20" i="35" s="1"/>
  <c r="P20" i="35" s="1"/>
  <c r="Q21" i="35"/>
  <c r="K21" i="35" s="1"/>
  <c r="N21" i="35" s="1"/>
  <c r="P21" i="35" s="1"/>
  <c r="Q22" i="35"/>
  <c r="K22" i="35" s="1"/>
  <c r="Q23" i="35"/>
  <c r="K23" i="35" s="1"/>
  <c r="N23" i="35" s="1"/>
  <c r="P23" i="35" s="1"/>
  <c r="Q24" i="35"/>
  <c r="K24" i="35" s="1"/>
  <c r="N24" i="35" s="1"/>
  <c r="P24" i="35" s="1"/>
  <c r="Q25" i="35"/>
  <c r="K25" i="35" s="1"/>
  <c r="N25" i="35" s="1"/>
  <c r="P25" i="35" s="1"/>
  <c r="Q26" i="35"/>
  <c r="K26" i="35" s="1"/>
  <c r="N26" i="35" s="1"/>
  <c r="P26" i="35" s="1"/>
  <c r="Q27" i="35"/>
  <c r="K27" i="35" s="1"/>
  <c r="N27" i="35" s="1"/>
  <c r="P27" i="35" s="1"/>
  <c r="Q28" i="35"/>
  <c r="K28" i="35" s="1"/>
  <c r="N28" i="35" s="1"/>
  <c r="P28" i="35" s="1"/>
  <c r="Q29" i="35"/>
  <c r="K29" i="35" s="1"/>
  <c r="N29" i="35" s="1"/>
  <c r="P29" i="35" s="1"/>
  <c r="Q30" i="35"/>
  <c r="K30" i="35" s="1"/>
  <c r="Q31" i="35"/>
  <c r="K31" i="35" s="1"/>
  <c r="N31" i="35" s="1"/>
  <c r="P31" i="35" s="1"/>
  <c r="Q32" i="35"/>
  <c r="K32" i="35" s="1"/>
  <c r="N32" i="35" s="1"/>
  <c r="P32" i="35" s="1"/>
  <c r="Q33" i="35"/>
  <c r="K33" i="35" s="1"/>
  <c r="N33" i="35" s="1"/>
  <c r="P33" i="35" s="1"/>
  <c r="Q34" i="35"/>
  <c r="K34" i="35" s="1"/>
  <c r="N34" i="35" s="1"/>
  <c r="P34" i="35" s="1"/>
  <c r="Q35" i="35"/>
  <c r="K35" i="35" s="1"/>
  <c r="N35" i="35" s="1"/>
  <c r="P35" i="35" s="1"/>
  <c r="Q36" i="35"/>
  <c r="K36" i="35" s="1"/>
  <c r="N36" i="35" s="1"/>
  <c r="P36" i="35" s="1"/>
  <c r="Q37" i="35"/>
  <c r="K37" i="35" s="1"/>
  <c r="N37" i="35" s="1"/>
  <c r="P37" i="35" s="1"/>
  <c r="Q38" i="35"/>
  <c r="K38" i="35" s="1"/>
  <c r="Q39" i="35"/>
  <c r="Q40" i="35"/>
  <c r="K40" i="35" s="1"/>
  <c r="N40" i="35" s="1"/>
  <c r="P40" i="35" s="1"/>
  <c r="P39" i="35" s="1"/>
  <c r="Q41" i="35"/>
  <c r="Q42" i="35"/>
  <c r="Q43" i="35"/>
  <c r="Q44" i="35"/>
  <c r="Q45" i="35"/>
  <c r="Q46" i="35"/>
  <c r="Q47" i="35"/>
  <c r="Q48" i="35"/>
  <c r="Q49" i="35"/>
  <c r="Q50" i="35"/>
  <c r="Q51" i="35"/>
  <c r="Q52" i="35"/>
  <c r="Q53" i="35"/>
  <c r="Q54" i="35"/>
  <c r="Q55" i="35"/>
  <c r="Q56" i="35"/>
  <c r="Q57" i="35"/>
  <c r="Q58" i="35"/>
  <c r="Q59" i="35"/>
  <c r="Q60" i="35"/>
  <c r="Q61" i="35"/>
  <c r="Q62" i="35"/>
  <c r="Q63" i="35"/>
  <c r="Q64" i="35"/>
  <c r="Q65" i="35"/>
  <c r="Q66" i="35"/>
  <c r="Q67" i="35"/>
  <c r="K67" i="35" s="1"/>
  <c r="Q68" i="35"/>
  <c r="Q69" i="35"/>
  <c r="K69" i="35" s="1"/>
  <c r="N69" i="35" s="1"/>
  <c r="P69" i="35" s="1"/>
  <c r="Q70" i="35"/>
  <c r="Q71" i="35"/>
  <c r="K71" i="35" s="1"/>
  <c r="N71" i="35" s="1"/>
  <c r="P71" i="35" s="1"/>
  <c r="P70" i="35" s="1"/>
  <c r="Q72" i="35"/>
  <c r="Q73" i="35"/>
  <c r="Q74" i="35"/>
  <c r="K74" i="35" s="1"/>
  <c r="N74" i="35" s="1"/>
  <c r="P74" i="35" s="1"/>
  <c r="P73" i="35" s="1"/>
  <c r="P72" i="35" s="1"/>
  <c r="Q75" i="35"/>
  <c r="Q15" i="35"/>
  <c r="K15" i="35" s="1"/>
  <c r="N15" i="35" s="1"/>
  <c r="P15" i="35" s="1"/>
  <c r="N24" i="33"/>
  <c r="P24" i="33" s="1"/>
  <c r="N32" i="33"/>
  <c r="P32" i="33" s="1"/>
  <c r="N40" i="33"/>
  <c r="P40" i="33" s="1"/>
  <c r="N45" i="32"/>
  <c r="N18" i="32"/>
  <c r="P18" i="32" s="1"/>
  <c r="N15" i="32"/>
  <c r="N22" i="32"/>
  <c r="N23" i="32"/>
  <c r="N30" i="32"/>
  <c r="N31" i="32"/>
  <c r="K80" i="31"/>
  <c r="K78" i="31"/>
  <c r="K76" i="31"/>
  <c r="K71" i="31"/>
  <c r="K59" i="31"/>
  <c r="K52" i="31"/>
  <c r="K51" i="31"/>
  <c r="K43" i="31"/>
  <c r="K42" i="31"/>
  <c r="K36" i="31"/>
  <c r="K35" i="31"/>
  <c r="K18" i="31"/>
  <c r="K19" i="31"/>
  <c r="K20" i="31"/>
  <c r="K21" i="31"/>
  <c r="K22" i="31"/>
  <c r="K23" i="31"/>
  <c r="N23" i="31" s="1"/>
  <c r="P23" i="31" s="1"/>
  <c r="K24" i="31"/>
  <c r="K25" i="31"/>
  <c r="K26" i="31"/>
  <c r="K27" i="31"/>
  <c r="K28" i="31"/>
  <c r="K29" i="31"/>
  <c r="K30" i="31"/>
  <c r="K31" i="31"/>
  <c r="N31" i="31" s="1"/>
  <c r="P31" i="31" s="1"/>
  <c r="K32" i="31"/>
  <c r="K33" i="31"/>
  <c r="K15" i="31"/>
  <c r="Q16" i="31"/>
  <c r="Q17" i="31"/>
  <c r="Q18" i="31"/>
  <c r="Q19" i="31"/>
  <c r="Q20" i="31"/>
  <c r="Q21" i="31"/>
  <c r="Q22" i="31"/>
  <c r="Q23" i="31"/>
  <c r="Q24" i="31"/>
  <c r="Q25" i="31"/>
  <c r="Q26" i="31"/>
  <c r="Q27" i="31"/>
  <c r="Q28" i="31"/>
  <c r="Q29" i="31"/>
  <c r="Q30" i="31"/>
  <c r="Q31" i="31"/>
  <c r="Q32" i="31"/>
  <c r="Q33" i="31"/>
  <c r="Q34" i="31"/>
  <c r="Q35" i="31"/>
  <c r="Q36" i="31"/>
  <c r="Q37" i="31"/>
  <c r="Q38" i="31"/>
  <c r="Q39" i="31"/>
  <c r="Q40" i="31"/>
  <c r="Q41" i="31"/>
  <c r="Q42" i="31"/>
  <c r="Q43" i="31"/>
  <c r="Q44" i="31"/>
  <c r="Q45" i="31"/>
  <c r="Q46" i="31"/>
  <c r="Q47" i="31"/>
  <c r="Q48" i="31"/>
  <c r="Q49" i="31"/>
  <c r="Q50" i="31"/>
  <c r="Q51" i="31"/>
  <c r="Q52" i="31"/>
  <c r="Q53" i="31"/>
  <c r="Q54" i="31"/>
  <c r="Q55" i="31"/>
  <c r="Q56" i="31"/>
  <c r="Q57" i="31"/>
  <c r="Q58" i="31"/>
  <c r="Q59" i="31"/>
  <c r="Q60" i="31"/>
  <c r="Q61" i="31"/>
  <c r="Q62" i="31"/>
  <c r="Q63" i="31"/>
  <c r="Q64" i="31"/>
  <c r="Q65" i="31"/>
  <c r="Q66" i="31"/>
  <c r="Q67" i="31"/>
  <c r="Q68" i="31"/>
  <c r="Q69" i="31"/>
  <c r="Q70" i="31"/>
  <c r="Q71" i="31"/>
  <c r="Q72" i="31"/>
  <c r="Q73" i="31"/>
  <c r="Q74" i="31"/>
  <c r="Q75" i="31"/>
  <c r="Q76" i="31"/>
  <c r="Q77" i="31"/>
  <c r="Q78" i="31"/>
  <c r="Q79" i="31"/>
  <c r="Q80" i="31"/>
  <c r="Q15" i="31"/>
  <c r="K87" i="30"/>
  <c r="K85" i="30"/>
  <c r="K83" i="30"/>
  <c r="K76" i="30"/>
  <c r="K65" i="30"/>
  <c r="K55" i="30"/>
  <c r="K54" i="30"/>
  <c r="K37" i="30"/>
  <c r="K36" i="30"/>
  <c r="R16" i="30"/>
  <c r="R17" i="30"/>
  <c r="R18" i="30"/>
  <c r="R19" i="30"/>
  <c r="R20" i="30"/>
  <c r="R21" i="30"/>
  <c r="R22" i="30"/>
  <c r="R23" i="30"/>
  <c r="R24" i="30"/>
  <c r="R25" i="30"/>
  <c r="R26" i="30"/>
  <c r="R27" i="30"/>
  <c r="R28" i="30"/>
  <c r="R29" i="30"/>
  <c r="R30" i="30"/>
  <c r="R31" i="30"/>
  <c r="K31" i="30" s="1"/>
  <c r="R32" i="30"/>
  <c r="R33" i="30"/>
  <c r="R34" i="30"/>
  <c r="R35" i="30"/>
  <c r="R36" i="30"/>
  <c r="R37" i="30"/>
  <c r="R38" i="30"/>
  <c r="R39" i="30"/>
  <c r="R40" i="30"/>
  <c r="R41" i="30"/>
  <c r="R42" i="30"/>
  <c r="R43" i="30"/>
  <c r="R44" i="30"/>
  <c r="R45" i="30"/>
  <c r="R46" i="30"/>
  <c r="R47" i="30"/>
  <c r="R48" i="30"/>
  <c r="R49" i="30"/>
  <c r="R50" i="30"/>
  <c r="R51" i="30"/>
  <c r="R52" i="30"/>
  <c r="R53" i="30"/>
  <c r="R54" i="30"/>
  <c r="R55" i="30"/>
  <c r="R56" i="30"/>
  <c r="R57" i="30"/>
  <c r="R58" i="30"/>
  <c r="R59" i="30"/>
  <c r="R60" i="30"/>
  <c r="R61" i="30"/>
  <c r="R62" i="30"/>
  <c r="R63" i="30"/>
  <c r="R64" i="30"/>
  <c r="R65" i="30"/>
  <c r="R66" i="30"/>
  <c r="R67" i="30"/>
  <c r="R68" i="30"/>
  <c r="R69" i="30"/>
  <c r="R70" i="30"/>
  <c r="R71" i="30"/>
  <c r="R72" i="30"/>
  <c r="R73" i="30"/>
  <c r="R74" i="30"/>
  <c r="R75" i="30"/>
  <c r="R76" i="30"/>
  <c r="R77" i="30"/>
  <c r="R78" i="30"/>
  <c r="R79" i="30"/>
  <c r="R80" i="30"/>
  <c r="R81" i="30"/>
  <c r="R82" i="30"/>
  <c r="R83" i="30"/>
  <c r="R84" i="30"/>
  <c r="R85" i="30"/>
  <c r="R86" i="30"/>
  <c r="R87" i="30"/>
  <c r="K18" i="30"/>
  <c r="K19" i="30"/>
  <c r="K20" i="30"/>
  <c r="K21" i="30"/>
  <c r="K22" i="30"/>
  <c r="K23" i="30"/>
  <c r="M23" i="30" s="1"/>
  <c r="K24" i="30"/>
  <c r="K25" i="30"/>
  <c r="K26" i="30"/>
  <c r="K27" i="30"/>
  <c r="K28" i="30"/>
  <c r="K29" i="30"/>
  <c r="K30" i="30"/>
  <c r="K32" i="30"/>
  <c r="K33" i="30"/>
  <c r="K34" i="30"/>
  <c r="K15" i="30"/>
  <c r="R15" i="30"/>
  <c r="K83" i="29"/>
  <c r="K81" i="29"/>
  <c r="K79" i="29"/>
  <c r="K74" i="29"/>
  <c r="K63" i="29"/>
  <c r="K56" i="29"/>
  <c r="K55" i="29"/>
  <c r="K43" i="29"/>
  <c r="K42" i="29"/>
  <c r="K40" i="29"/>
  <c r="K39" i="29"/>
  <c r="Q16" i="29"/>
  <c r="Q17" i="29"/>
  <c r="Q18" i="29"/>
  <c r="K18" i="29" s="1"/>
  <c r="N18" i="29" s="1"/>
  <c r="P18" i="29" s="1"/>
  <c r="Q19" i="29"/>
  <c r="Q20" i="29"/>
  <c r="Q21" i="29"/>
  <c r="Q22" i="29"/>
  <c r="Q23" i="29"/>
  <c r="K23" i="29" s="1"/>
  <c r="N23" i="29" s="1"/>
  <c r="P23" i="29" s="1"/>
  <c r="Q24" i="29"/>
  <c r="Q25" i="29"/>
  <c r="Q26" i="29"/>
  <c r="K26" i="29" s="1"/>
  <c r="N26" i="29" s="1"/>
  <c r="P26" i="29" s="1"/>
  <c r="Q27" i="29"/>
  <c r="Q28" i="29"/>
  <c r="Q29" i="29"/>
  <c r="Q30" i="29"/>
  <c r="Q31" i="29"/>
  <c r="K31" i="29" s="1"/>
  <c r="N31" i="29" s="1"/>
  <c r="P31" i="29" s="1"/>
  <c r="Q32" i="29"/>
  <c r="Q33" i="29"/>
  <c r="Q34" i="29"/>
  <c r="K34" i="29" s="1"/>
  <c r="N34" i="29" s="1"/>
  <c r="P34" i="29" s="1"/>
  <c r="Q35" i="29"/>
  <c r="Q36" i="29"/>
  <c r="Q37" i="29"/>
  <c r="Q38" i="29"/>
  <c r="Q39" i="29"/>
  <c r="Q40" i="29"/>
  <c r="Q41" i="29"/>
  <c r="Q42" i="29"/>
  <c r="Q43" i="29"/>
  <c r="Q44" i="29"/>
  <c r="Q45" i="29"/>
  <c r="Q46" i="29"/>
  <c r="Q47" i="29"/>
  <c r="Q48" i="29"/>
  <c r="Q49" i="29"/>
  <c r="Q50" i="29"/>
  <c r="Q51" i="29"/>
  <c r="Q52" i="29"/>
  <c r="Q53" i="29"/>
  <c r="Q54" i="29"/>
  <c r="Q55" i="29"/>
  <c r="Q56" i="29"/>
  <c r="Q57" i="29"/>
  <c r="Q58" i="29"/>
  <c r="Q59" i="29"/>
  <c r="Q60" i="29"/>
  <c r="Q61" i="29"/>
  <c r="Q62" i="29"/>
  <c r="Q63" i="29"/>
  <c r="Q64" i="29"/>
  <c r="Q65" i="29"/>
  <c r="Q66" i="29"/>
  <c r="Q67" i="29"/>
  <c r="Q68" i="29"/>
  <c r="Q69" i="29"/>
  <c r="Q70" i="29"/>
  <c r="Q71" i="29"/>
  <c r="Q72" i="29"/>
  <c r="Q73" i="29"/>
  <c r="Q74" i="29"/>
  <c r="Q75" i="29"/>
  <c r="Q76" i="29"/>
  <c r="Q77" i="29"/>
  <c r="Q78" i="29"/>
  <c r="Q79" i="29"/>
  <c r="Q80" i="29"/>
  <c r="Q81" i="29"/>
  <c r="Q82" i="29"/>
  <c r="Q83" i="29"/>
  <c r="K16" i="29"/>
  <c r="K17" i="29"/>
  <c r="K19" i="29"/>
  <c r="N19" i="29" s="1"/>
  <c r="P19" i="29" s="1"/>
  <c r="K22" i="29"/>
  <c r="K24" i="29"/>
  <c r="K25" i="29"/>
  <c r="K27" i="29"/>
  <c r="N27" i="29" s="1"/>
  <c r="P27" i="29" s="1"/>
  <c r="K28" i="29"/>
  <c r="K29" i="29"/>
  <c r="K30" i="29"/>
  <c r="K32" i="29"/>
  <c r="K33" i="29"/>
  <c r="K35" i="29"/>
  <c r="N35" i="29" s="1"/>
  <c r="P35" i="29" s="1"/>
  <c r="K36" i="29"/>
  <c r="K37" i="29"/>
  <c r="K15" i="29"/>
  <c r="Q15" i="29"/>
  <c r="K86" i="28"/>
  <c r="K84" i="28"/>
  <c r="K82" i="28"/>
  <c r="K75" i="28"/>
  <c r="K64" i="28"/>
  <c r="K57" i="28"/>
  <c r="K56" i="28"/>
  <c r="K45" i="28"/>
  <c r="K44" i="28"/>
  <c r="K40" i="28"/>
  <c r="K39" i="28"/>
  <c r="K16" i="28"/>
  <c r="K17" i="28"/>
  <c r="K18" i="28"/>
  <c r="K21" i="28"/>
  <c r="K22" i="28"/>
  <c r="K23" i="28"/>
  <c r="N23" i="28" s="1"/>
  <c r="P23" i="28" s="1"/>
  <c r="K24" i="28"/>
  <c r="K25" i="28"/>
  <c r="K26" i="28"/>
  <c r="K27" i="28"/>
  <c r="K28" i="28"/>
  <c r="K29" i="28"/>
  <c r="K30" i="28"/>
  <c r="K31" i="28"/>
  <c r="N31" i="28" s="1"/>
  <c r="P31" i="28" s="1"/>
  <c r="K32" i="28"/>
  <c r="K33" i="28"/>
  <c r="K34" i="28"/>
  <c r="K35" i="28"/>
  <c r="K36" i="28"/>
  <c r="K37" i="28"/>
  <c r="K15" i="28"/>
  <c r="Q16" i="28"/>
  <c r="Q17" i="28"/>
  <c r="Q18" i="28"/>
  <c r="Q19" i="28"/>
  <c r="Q20" i="28"/>
  <c r="Q21" i="28"/>
  <c r="Q22" i="28"/>
  <c r="Q23" i="28"/>
  <c r="Q24" i="28"/>
  <c r="Q25" i="28"/>
  <c r="Q26" i="28"/>
  <c r="Q27" i="28"/>
  <c r="Q28" i="28"/>
  <c r="Q29" i="28"/>
  <c r="Q30" i="28"/>
  <c r="Q31" i="28"/>
  <c r="Q32" i="28"/>
  <c r="Q33" i="28"/>
  <c r="Q34" i="28"/>
  <c r="Q35" i="28"/>
  <c r="Q36" i="28"/>
  <c r="Q37" i="28"/>
  <c r="Q38" i="28"/>
  <c r="Q39" i="28"/>
  <c r="Q40" i="28"/>
  <c r="Q41" i="28"/>
  <c r="Q42" i="28"/>
  <c r="Q43" i="28"/>
  <c r="Q44" i="28"/>
  <c r="Q45" i="28"/>
  <c r="Q46" i="28"/>
  <c r="Q47" i="28"/>
  <c r="Q48" i="28"/>
  <c r="Q49" i="28"/>
  <c r="Q50" i="28"/>
  <c r="Q51" i="28"/>
  <c r="Q52" i="28"/>
  <c r="Q53" i="28"/>
  <c r="Q54" i="28"/>
  <c r="Q55" i="28"/>
  <c r="Q56" i="28"/>
  <c r="Q57" i="28"/>
  <c r="Q58" i="28"/>
  <c r="Q59" i="28"/>
  <c r="Q60" i="28"/>
  <c r="Q61" i="28"/>
  <c r="Q62" i="28"/>
  <c r="Q63" i="28"/>
  <c r="Q64" i="28"/>
  <c r="Q65" i="28"/>
  <c r="Q66" i="28"/>
  <c r="Q67" i="28"/>
  <c r="Q68" i="28"/>
  <c r="Q69" i="28"/>
  <c r="Q70" i="28"/>
  <c r="Q71" i="28"/>
  <c r="Q72" i="28"/>
  <c r="Q73" i="28"/>
  <c r="Q74" i="28"/>
  <c r="Q75" i="28"/>
  <c r="Q76" i="28"/>
  <c r="Q77" i="28"/>
  <c r="Q78" i="28"/>
  <c r="Q79" i="28"/>
  <c r="Q80" i="28"/>
  <c r="Q81" i="28"/>
  <c r="Q82" i="28"/>
  <c r="Q83" i="28"/>
  <c r="Q84" i="28"/>
  <c r="Q85" i="28"/>
  <c r="Q86" i="28"/>
  <c r="Q15" i="28"/>
  <c r="K81" i="27"/>
  <c r="K79" i="27"/>
  <c r="K77" i="27"/>
  <c r="K72" i="27"/>
  <c r="K61" i="27"/>
  <c r="K57" i="27"/>
  <c r="K56" i="27"/>
  <c r="K45" i="27"/>
  <c r="K44" i="27"/>
  <c r="K42" i="27"/>
  <c r="K41" i="27"/>
  <c r="K16" i="27"/>
  <c r="K17" i="27"/>
  <c r="K18" i="27"/>
  <c r="K21" i="27"/>
  <c r="N21" i="27" s="1"/>
  <c r="P21" i="27" s="1"/>
  <c r="K22" i="27"/>
  <c r="K23" i="27"/>
  <c r="N23" i="27" s="1"/>
  <c r="P23" i="27" s="1"/>
  <c r="K24" i="27"/>
  <c r="K25" i="27"/>
  <c r="K26" i="27"/>
  <c r="K27" i="27"/>
  <c r="K28" i="27"/>
  <c r="K29" i="27"/>
  <c r="N29" i="27" s="1"/>
  <c r="P29" i="27" s="1"/>
  <c r="K30" i="27"/>
  <c r="K31" i="27"/>
  <c r="N31" i="27" s="1"/>
  <c r="P31" i="27" s="1"/>
  <c r="K32" i="27"/>
  <c r="K33" i="27"/>
  <c r="K34" i="27"/>
  <c r="K35" i="27"/>
  <c r="K36" i="27"/>
  <c r="K37" i="27"/>
  <c r="N37" i="27" s="1"/>
  <c r="P37" i="27" s="1"/>
  <c r="K38" i="27"/>
  <c r="K39" i="27"/>
  <c r="N39" i="27" s="1"/>
  <c r="P39" i="27" s="1"/>
  <c r="Q16" i="27"/>
  <c r="Q17" i="27"/>
  <c r="Q18" i="27"/>
  <c r="Q19" i="27"/>
  <c r="Q20" i="27"/>
  <c r="Q21" i="27"/>
  <c r="Q22" i="27"/>
  <c r="Q23" i="27"/>
  <c r="Q24" i="27"/>
  <c r="Q25" i="27"/>
  <c r="Q26" i="27"/>
  <c r="Q27" i="27"/>
  <c r="Q28" i="27"/>
  <c r="Q29" i="27"/>
  <c r="Q30" i="27"/>
  <c r="Q31" i="27"/>
  <c r="Q32" i="27"/>
  <c r="Q33" i="27"/>
  <c r="Q34" i="27"/>
  <c r="Q35" i="27"/>
  <c r="Q36" i="27"/>
  <c r="Q37" i="27"/>
  <c r="Q38" i="27"/>
  <c r="Q39" i="27"/>
  <c r="Q40" i="27"/>
  <c r="Q41" i="27"/>
  <c r="Q42" i="27"/>
  <c r="Q43" i="27"/>
  <c r="Q44" i="27"/>
  <c r="Q45" i="27"/>
  <c r="Q46" i="27"/>
  <c r="Q47" i="27"/>
  <c r="Q48" i="27"/>
  <c r="Q49" i="27"/>
  <c r="Q50" i="27"/>
  <c r="Q51" i="27"/>
  <c r="Q52" i="27"/>
  <c r="Q53" i="27"/>
  <c r="Q54" i="27"/>
  <c r="Q55" i="27"/>
  <c r="Q56" i="27"/>
  <c r="Q57" i="27"/>
  <c r="Q58" i="27"/>
  <c r="Q59" i="27"/>
  <c r="Q60" i="27"/>
  <c r="Q61" i="27"/>
  <c r="Q62" i="27"/>
  <c r="Q63" i="27"/>
  <c r="Q64" i="27"/>
  <c r="Q65" i="27"/>
  <c r="Q66" i="27"/>
  <c r="Q67" i="27"/>
  <c r="Q68" i="27"/>
  <c r="Q69" i="27"/>
  <c r="Q70" i="27"/>
  <c r="Q71" i="27"/>
  <c r="Q72" i="27"/>
  <c r="Q73" i="27"/>
  <c r="Q74" i="27"/>
  <c r="Q75" i="27"/>
  <c r="Q76" i="27"/>
  <c r="Q77" i="27"/>
  <c r="Q78" i="27"/>
  <c r="Q79" i="27"/>
  <c r="Q80" i="27"/>
  <c r="Q81" i="27"/>
  <c r="Q15" i="27"/>
  <c r="K15" i="27" s="1"/>
  <c r="K79" i="26"/>
  <c r="K77" i="26"/>
  <c r="K75" i="26"/>
  <c r="K70" i="26"/>
  <c r="K60" i="26"/>
  <c r="K54" i="26"/>
  <c r="K53" i="26"/>
  <c r="K45" i="26"/>
  <c r="K44" i="26"/>
  <c r="K38" i="26"/>
  <c r="K37" i="26"/>
  <c r="K18" i="26"/>
  <c r="K19" i="26"/>
  <c r="K20" i="26"/>
  <c r="K21" i="26"/>
  <c r="K22" i="26"/>
  <c r="K23" i="26"/>
  <c r="N23" i="26" s="1"/>
  <c r="P23" i="26" s="1"/>
  <c r="K24" i="26"/>
  <c r="K25" i="26"/>
  <c r="K26" i="26"/>
  <c r="K27" i="26"/>
  <c r="K28" i="26"/>
  <c r="K29" i="26"/>
  <c r="K30" i="26"/>
  <c r="K31" i="26"/>
  <c r="N31" i="26" s="1"/>
  <c r="P31" i="26" s="1"/>
  <c r="K32" i="26"/>
  <c r="K33" i="26"/>
  <c r="K34" i="26"/>
  <c r="K35" i="26"/>
  <c r="K15" i="26"/>
  <c r="T16" i="26"/>
  <c r="T17" i="26"/>
  <c r="T18" i="26"/>
  <c r="T19" i="26"/>
  <c r="T20" i="26"/>
  <c r="T21" i="26"/>
  <c r="T22" i="26"/>
  <c r="T23" i="26"/>
  <c r="T24" i="26"/>
  <c r="T25" i="26"/>
  <c r="T26" i="26"/>
  <c r="T27" i="26"/>
  <c r="T28" i="26"/>
  <c r="T29" i="26"/>
  <c r="T30" i="26"/>
  <c r="T31" i="26"/>
  <c r="T32" i="26"/>
  <c r="T33" i="26"/>
  <c r="T34" i="26"/>
  <c r="T35" i="26"/>
  <c r="T36" i="26"/>
  <c r="T37" i="26"/>
  <c r="T38" i="26"/>
  <c r="T39" i="26"/>
  <c r="T40" i="26"/>
  <c r="T41" i="26"/>
  <c r="T42" i="26"/>
  <c r="T43" i="26"/>
  <c r="T44" i="26"/>
  <c r="T45" i="26"/>
  <c r="T46" i="26"/>
  <c r="T47" i="26"/>
  <c r="T48" i="26"/>
  <c r="T49" i="26"/>
  <c r="T50" i="26"/>
  <c r="T51" i="26"/>
  <c r="T52" i="26"/>
  <c r="T53" i="26"/>
  <c r="T54" i="26"/>
  <c r="T55" i="26"/>
  <c r="T56" i="26"/>
  <c r="T57" i="26"/>
  <c r="T58" i="26"/>
  <c r="T59" i="26"/>
  <c r="T60" i="26"/>
  <c r="T61" i="26"/>
  <c r="T62" i="26"/>
  <c r="T63" i="26"/>
  <c r="T64" i="26"/>
  <c r="T65" i="26"/>
  <c r="T66" i="26"/>
  <c r="T67" i="26"/>
  <c r="T68" i="26"/>
  <c r="T69" i="26"/>
  <c r="T70" i="26"/>
  <c r="T71" i="26"/>
  <c r="T72" i="26"/>
  <c r="T73" i="26"/>
  <c r="T74" i="26"/>
  <c r="T75" i="26"/>
  <c r="T76" i="26"/>
  <c r="T77" i="26"/>
  <c r="T78" i="26"/>
  <c r="T79" i="26"/>
  <c r="T15" i="26"/>
  <c r="K90" i="25"/>
  <c r="K88" i="25"/>
  <c r="K86" i="25"/>
  <c r="K81" i="25"/>
  <c r="K70" i="25"/>
  <c r="K63" i="25"/>
  <c r="K62" i="25"/>
  <c r="K51" i="25"/>
  <c r="K50" i="25"/>
  <c r="K42" i="25"/>
  <c r="K41" i="25"/>
  <c r="K16" i="25"/>
  <c r="K17" i="25"/>
  <c r="K18" i="25"/>
  <c r="K21" i="25"/>
  <c r="K22" i="25"/>
  <c r="K23" i="25"/>
  <c r="N23" i="25" s="1"/>
  <c r="P23" i="25" s="1"/>
  <c r="K24" i="25"/>
  <c r="K25" i="25"/>
  <c r="K26" i="25"/>
  <c r="K27" i="25"/>
  <c r="K28" i="25"/>
  <c r="K29" i="25"/>
  <c r="K30" i="25"/>
  <c r="K31" i="25"/>
  <c r="N31" i="25" s="1"/>
  <c r="P31" i="25" s="1"/>
  <c r="K32" i="25"/>
  <c r="K33" i="25"/>
  <c r="K34" i="25"/>
  <c r="K35" i="25"/>
  <c r="K36" i="25"/>
  <c r="K37" i="25"/>
  <c r="K38" i="25"/>
  <c r="K39" i="25"/>
  <c r="N39" i="25" s="1"/>
  <c r="P39" i="25" s="1"/>
  <c r="K15" i="25"/>
  <c r="AG16" i="25"/>
  <c r="AG17" i="25"/>
  <c r="AG18" i="25"/>
  <c r="AG19" i="25"/>
  <c r="AG20" i="25"/>
  <c r="AG21" i="25"/>
  <c r="AG22" i="25"/>
  <c r="AG23" i="25"/>
  <c r="AG24" i="25"/>
  <c r="AG25" i="25"/>
  <c r="AG26" i="25"/>
  <c r="AG27" i="25"/>
  <c r="AG28" i="25"/>
  <c r="AG29" i="25"/>
  <c r="AG30" i="25"/>
  <c r="AG31" i="25"/>
  <c r="AG32" i="25"/>
  <c r="AG33" i="25"/>
  <c r="AG34" i="25"/>
  <c r="AG35" i="25"/>
  <c r="AG36" i="25"/>
  <c r="AG37" i="25"/>
  <c r="AG38" i="25"/>
  <c r="AG39" i="25"/>
  <c r="AG40" i="25"/>
  <c r="AG41" i="25"/>
  <c r="AG42" i="25"/>
  <c r="AG43" i="25"/>
  <c r="AG44" i="25"/>
  <c r="AG45" i="25"/>
  <c r="AG46" i="25"/>
  <c r="AG47" i="25"/>
  <c r="AG48" i="25"/>
  <c r="AG49" i="25"/>
  <c r="AG50" i="25"/>
  <c r="AG51" i="25"/>
  <c r="AG52" i="25"/>
  <c r="AG53" i="25"/>
  <c r="AG54" i="25"/>
  <c r="AG55" i="25"/>
  <c r="AG56" i="25"/>
  <c r="AG57" i="25"/>
  <c r="AG58" i="25"/>
  <c r="AG59" i="25"/>
  <c r="AG60" i="25"/>
  <c r="AG61" i="25"/>
  <c r="AG62" i="25"/>
  <c r="AG63" i="25"/>
  <c r="AG64" i="25"/>
  <c r="AG65" i="25"/>
  <c r="AG66" i="25"/>
  <c r="AG67" i="25"/>
  <c r="AG68" i="25"/>
  <c r="AG69" i="25"/>
  <c r="AG70" i="25"/>
  <c r="AG71" i="25"/>
  <c r="AG72" i="25"/>
  <c r="AG73" i="25"/>
  <c r="AG74" i="25"/>
  <c r="AG75" i="25"/>
  <c r="AG76" i="25"/>
  <c r="AG77" i="25"/>
  <c r="AG78" i="25"/>
  <c r="AG79" i="25"/>
  <c r="AG80" i="25"/>
  <c r="AG81" i="25"/>
  <c r="AG82" i="25"/>
  <c r="AG83" i="25"/>
  <c r="AG84" i="25"/>
  <c r="AG85" i="25"/>
  <c r="AG86" i="25"/>
  <c r="AG87" i="25"/>
  <c r="AG88" i="25"/>
  <c r="AG89" i="25"/>
  <c r="AG90" i="25"/>
  <c r="AG15" i="25"/>
  <c r="P81" i="24"/>
  <c r="M81" i="24"/>
  <c r="K79" i="24"/>
  <c r="K77" i="24"/>
  <c r="K76" i="24"/>
  <c r="K71" i="24"/>
  <c r="K60" i="24"/>
  <c r="K55" i="24"/>
  <c r="K54" i="24"/>
  <c r="K46" i="24"/>
  <c r="K45" i="24"/>
  <c r="Q16" i="24"/>
  <c r="Q17" i="24"/>
  <c r="Q18" i="24"/>
  <c r="Q19" i="24"/>
  <c r="Q20" i="24"/>
  <c r="K20" i="24" s="1"/>
  <c r="N20" i="24" s="1"/>
  <c r="P20" i="24" s="1"/>
  <c r="Q21" i="24"/>
  <c r="K21" i="24" s="1"/>
  <c r="N21" i="24" s="1"/>
  <c r="P21" i="24" s="1"/>
  <c r="Q22" i="24"/>
  <c r="K22" i="24" s="1"/>
  <c r="N22" i="24" s="1"/>
  <c r="P22" i="24" s="1"/>
  <c r="Q23" i="24"/>
  <c r="K23" i="24" s="1"/>
  <c r="N23" i="24" s="1"/>
  <c r="P23" i="24" s="1"/>
  <c r="Q24" i="24"/>
  <c r="Q25" i="24"/>
  <c r="Q26" i="24"/>
  <c r="Q27" i="24"/>
  <c r="Q28" i="24"/>
  <c r="K28" i="24" s="1"/>
  <c r="N28" i="24" s="1"/>
  <c r="P28" i="24" s="1"/>
  <c r="Q29" i="24"/>
  <c r="K29" i="24" s="1"/>
  <c r="N29" i="24" s="1"/>
  <c r="P29" i="24" s="1"/>
  <c r="Q30" i="24"/>
  <c r="K30" i="24" s="1"/>
  <c r="N30" i="24" s="1"/>
  <c r="P30" i="24" s="1"/>
  <c r="Q31" i="24"/>
  <c r="K31" i="24" s="1"/>
  <c r="N31" i="24" s="1"/>
  <c r="P31" i="24" s="1"/>
  <c r="Q32" i="24"/>
  <c r="Q33" i="24"/>
  <c r="Q34" i="24"/>
  <c r="Q35" i="24"/>
  <c r="Q36" i="24"/>
  <c r="K36" i="24" s="1"/>
  <c r="N36" i="24" s="1"/>
  <c r="P36" i="24" s="1"/>
  <c r="Q37" i="24"/>
  <c r="K37" i="24" s="1"/>
  <c r="N37" i="24" s="1"/>
  <c r="P37" i="24" s="1"/>
  <c r="Q38" i="24"/>
  <c r="K38" i="24" s="1"/>
  <c r="N38" i="24" s="1"/>
  <c r="P38" i="24" s="1"/>
  <c r="Q39" i="24"/>
  <c r="Q40" i="24"/>
  <c r="Q41" i="24"/>
  <c r="Q42" i="24"/>
  <c r="Q43" i="24"/>
  <c r="Q44" i="24"/>
  <c r="Q45" i="24"/>
  <c r="Q46" i="24"/>
  <c r="Q47" i="24"/>
  <c r="Q48" i="24"/>
  <c r="Q49" i="24"/>
  <c r="Q50" i="24"/>
  <c r="Q51" i="24"/>
  <c r="Q52" i="24"/>
  <c r="Q53" i="24"/>
  <c r="Q54" i="24"/>
  <c r="Q55" i="24"/>
  <c r="Q56" i="24"/>
  <c r="Q57" i="24"/>
  <c r="Q58" i="24"/>
  <c r="Q59" i="24"/>
  <c r="Q60" i="24"/>
  <c r="Q61" i="24"/>
  <c r="Q62" i="24"/>
  <c r="Q63" i="24"/>
  <c r="Q64" i="24"/>
  <c r="Q65" i="24"/>
  <c r="Q66" i="24"/>
  <c r="Q67" i="24"/>
  <c r="Q68" i="24"/>
  <c r="Q69" i="24"/>
  <c r="Q70" i="24"/>
  <c r="Q71" i="24"/>
  <c r="Q72" i="24"/>
  <c r="Q73" i="24"/>
  <c r="Q74" i="24"/>
  <c r="Q75" i="24"/>
  <c r="Q76" i="24"/>
  <c r="Q77" i="24"/>
  <c r="Q78" i="24"/>
  <c r="Q79" i="24"/>
  <c r="Q15" i="24"/>
  <c r="K41" i="24"/>
  <c r="K40" i="24"/>
  <c r="K16" i="24"/>
  <c r="N16" i="24" s="1"/>
  <c r="P16" i="24" s="1"/>
  <c r="K17" i="24"/>
  <c r="K18" i="24"/>
  <c r="N18" i="24" s="1"/>
  <c r="P18" i="24" s="1"/>
  <c r="K19" i="24"/>
  <c r="K24" i="24"/>
  <c r="K25" i="24"/>
  <c r="K26" i="24"/>
  <c r="M26" i="24" s="1"/>
  <c r="K27" i="24"/>
  <c r="K32" i="24"/>
  <c r="N32" i="24" s="1"/>
  <c r="P32" i="24" s="1"/>
  <c r="K33" i="24"/>
  <c r="K34" i="24"/>
  <c r="K35" i="24"/>
  <c r="K15" i="24"/>
  <c r="K97" i="23"/>
  <c r="K95" i="23"/>
  <c r="K93" i="23"/>
  <c r="K82" i="23"/>
  <c r="K71" i="23"/>
  <c r="K64" i="23"/>
  <c r="K63" i="23"/>
  <c r="K52" i="23"/>
  <c r="K51" i="23"/>
  <c r="K42" i="23"/>
  <c r="K41" i="23"/>
  <c r="AR16" i="23"/>
  <c r="AR17" i="23"/>
  <c r="AR18" i="23"/>
  <c r="AR19" i="23"/>
  <c r="AR20" i="23"/>
  <c r="AR21" i="23"/>
  <c r="AR22" i="23"/>
  <c r="AR23" i="23"/>
  <c r="K23" i="23" s="1"/>
  <c r="M23" i="23" s="1"/>
  <c r="AR24" i="23"/>
  <c r="AR25" i="23"/>
  <c r="AR26" i="23"/>
  <c r="AR27" i="23"/>
  <c r="AR28" i="23"/>
  <c r="AR29" i="23"/>
  <c r="AR30" i="23"/>
  <c r="K30" i="23" s="1"/>
  <c r="AR31" i="23"/>
  <c r="K31" i="23" s="1"/>
  <c r="M31" i="23" s="1"/>
  <c r="AR32" i="23"/>
  <c r="AR33" i="23"/>
  <c r="AR34" i="23"/>
  <c r="AR35" i="23"/>
  <c r="AR36" i="23"/>
  <c r="AR37" i="23"/>
  <c r="AR38" i="23"/>
  <c r="AR39" i="23"/>
  <c r="AR40" i="23"/>
  <c r="AR41" i="23"/>
  <c r="AR42" i="23"/>
  <c r="AR43" i="23"/>
  <c r="AR44" i="23"/>
  <c r="AR45" i="23"/>
  <c r="AR46" i="23"/>
  <c r="AR47" i="23"/>
  <c r="AR48" i="23"/>
  <c r="AR49" i="23"/>
  <c r="AR50" i="23"/>
  <c r="AR51" i="23"/>
  <c r="AR52" i="23"/>
  <c r="AR53" i="23"/>
  <c r="AR54" i="23"/>
  <c r="AR55" i="23"/>
  <c r="AR56" i="23"/>
  <c r="AR57" i="23"/>
  <c r="AR58" i="23"/>
  <c r="AR59" i="23"/>
  <c r="AR60" i="23"/>
  <c r="AR61" i="23"/>
  <c r="AR62" i="23"/>
  <c r="AR63" i="23"/>
  <c r="AR64" i="23"/>
  <c r="AR65" i="23"/>
  <c r="AR66" i="23"/>
  <c r="AR67" i="23"/>
  <c r="AR68" i="23"/>
  <c r="AR69" i="23"/>
  <c r="AR70" i="23"/>
  <c r="AR71" i="23"/>
  <c r="AR72" i="23"/>
  <c r="AR73" i="23"/>
  <c r="AR74" i="23"/>
  <c r="AR75" i="23"/>
  <c r="AR76" i="23"/>
  <c r="AR77" i="23"/>
  <c r="AR78" i="23"/>
  <c r="AR79" i="23"/>
  <c r="AR80" i="23"/>
  <c r="AR81" i="23"/>
  <c r="AR82" i="23"/>
  <c r="AR83" i="23"/>
  <c r="AR84" i="23"/>
  <c r="AR85" i="23"/>
  <c r="AR86" i="23"/>
  <c r="AR87" i="23"/>
  <c r="AR88" i="23"/>
  <c r="AR89" i="23"/>
  <c r="AR90" i="23"/>
  <c r="AR91" i="23"/>
  <c r="AR92" i="23"/>
  <c r="AR93" i="23"/>
  <c r="AR94" i="23"/>
  <c r="AR95" i="23"/>
  <c r="AR96" i="23"/>
  <c r="AR97" i="23"/>
  <c r="K16" i="23"/>
  <c r="K17" i="23"/>
  <c r="K18" i="23"/>
  <c r="K21" i="23"/>
  <c r="K22" i="23"/>
  <c r="M22" i="23" s="1"/>
  <c r="K24" i="23"/>
  <c r="K25" i="23"/>
  <c r="K26" i="23"/>
  <c r="K27" i="23"/>
  <c r="K28" i="23"/>
  <c r="K29" i="23"/>
  <c r="K32" i="23"/>
  <c r="K33" i="23"/>
  <c r="K34" i="23"/>
  <c r="K35" i="23"/>
  <c r="K36" i="23"/>
  <c r="K37" i="23"/>
  <c r="K38" i="23"/>
  <c r="N38" i="23" s="1"/>
  <c r="P38" i="23" s="1"/>
  <c r="K39" i="23"/>
  <c r="M39" i="23" s="1"/>
  <c r="K15" i="23"/>
  <c r="AR15" i="23"/>
  <c r="K82" i="22"/>
  <c r="K80" i="22"/>
  <c r="K78" i="22"/>
  <c r="K73" i="22"/>
  <c r="K62" i="22"/>
  <c r="K55" i="22"/>
  <c r="K54" i="22"/>
  <c r="Q16" i="22"/>
  <c r="Q17" i="22"/>
  <c r="N17" i="22" s="1"/>
  <c r="P17" i="22" s="1"/>
  <c r="Q18" i="22"/>
  <c r="Q19" i="22"/>
  <c r="K19" i="22" s="1"/>
  <c r="N19" i="22" s="1"/>
  <c r="P19" i="22" s="1"/>
  <c r="Q20" i="22"/>
  <c r="Q21" i="22"/>
  <c r="Q22" i="22"/>
  <c r="Q23" i="22"/>
  <c r="K23" i="22" s="1"/>
  <c r="N23" i="22" s="1"/>
  <c r="P23" i="22" s="1"/>
  <c r="Q24" i="22"/>
  <c r="Q25" i="22"/>
  <c r="K25" i="22" s="1"/>
  <c r="N25" i="22" s="1"/>
  <c r="P25" i="22" s="1"/>
  <c r="Q26" i="22"/>
  <c r="Q27" i="22"/>
  <c r="K27" i="22" s="1"/>
  <c r="N27" i="22" s="1"/>
  <c r="P27" i="22" s="1"/>
  <c r="Q28" i="22"/>
  <c r="Q29" i="22"/>
  <c r="Q30" i="22"/>
  <c r="Q31" i="22"/>
  <c r="K31" i="22" s="1"/>
  <c r="N31" i="22" s="1"/>
  <c r="P31" i="22" s="1"/>
  <c r="Q32" i="22"/>
  <c r="Q33" i="22"/>
  <c r="K33" i="22" s="1"/>
  <c r="N33" i="22" s="1"/>
  <c r="P33" i="22" s="1"/>
  <c r="Q34" i="22"/>
  <c r="Q35" i="22"/>
  <c r="K35" i="22" s="1"/>
  <c r="N35" i="22" s="1"/>
  <c r="P35" i="22" s="1"/>
  <c r="Q36" i="22"/>
  <c r="Q37" i="22"/>
  <c r="Q38" i="22"/>
  <c r="Q39" i="22"/>
  <c r="K39" i="22" s="1"/>
  <c r="N39" i="22" s="1"/>
  <c r="P39" i="22" s="1"/>
  <c r="Q40" i="22"/>
  <c r="Q41" i="22"/>
  <c r="K41" i="22" s="1"/>
  <c r="N41" i="22" s="1"/>
  <c r="P41" i="22" s="1"/>
  <c r="Q42" i="22"/>
  <c r="Q43" i="22"/>
  <c r="K43" i="22" s="1"/>
  <c r="N43" i="22" s="1"/>
  <c r="P43" i="22" s="1"/>
  <c r="Q44" i="22"/>
  <c r="Q45" i="22"/>
  <c r="Q46" i="22"/>
  <c r="Q47" i="22"/>
  <c r="Q48" i="22"/>
  <c r="Q49" i="22"/>
  <c r="Q50" i="22"/>
  <c r="Q51" i="22"/>
  <c r="Q52" i="22"/>
  <c r="Q53" i="22"/>
  <c r="Q54" i="22"/>
  <c r="Q55" i="22"/>
  <c r="Q56" i="22"/>
  <c r="Q57" i="22"/>
  <c r="Q58" i="22"/>
  <c r="Q59" i="22"/>
  <c r="Q60" i="22"/>
  <c r="Q61" i="22"/>
  <c r="Q62" i="22"/>
  <c r="Q63" i="22"/>
  <c r="Q64" i="22"/>
  <c r="Q65" i="22"/>
  <c r="Q66" i="22"/>
  <c r="Q67" i="22"/>
  <c r="Q68" i="22"/>
  <c r="Q69" i="22"/>
  <c r="Q70" i="22"/>
  <c r="Q71" i="22"/>
  <c r="Q72" i="22"/>
  <c r="Q73" i="22"/>
  <c r="Q74" i="22"/>
  <c r="Q75" i="22"/>
  <c r="Q76" i="22"/>
  <c r="Q77" i="22"/>
  <c r="Q78" i="22"/>
  <c r="Q79" i="22"/>
  <c r="Q80" i="22"/>
  <c r="Q81" i="22"/>
  <c r="Q82" i="22"/>
  <c r="K18" i="22"/>
  <c r="K20" i="22"/>
  <c r="N20" i="22" s="1"/>
  <c r="P20" i="22" s="1"/>
  <c r="K21" i="22"/>
  <c r="K22" i="22"/>
  <c r="K24" i="22"/>
  <c r="K26" i="22"/>
  <c r="K28" i="22"/>
  <c r="N28" i="22" s="1"/>
  <c r="P28" i="22" s="1"/>
  <c r="K29" i="22"/>
  <c r="K30" i="22"/>
  <c r="K32" i="22"/>
  <c r="K34" i="22"/>
  <c r="K36" i="22"/>
  <c r="K38" i="22"/>
  <c r="K42" i="22"/>
  <c r="K44" i="22"/>
  <c r="N44" i="22" s="1"/>
  <c r="P44" i="22" s="1"/>
  <c r="K45" i="22"/>
  <c r="K46" i="22"/>
  <c r="K15" i="22"/>
  <c r="Q15" i="22"/>
  <c r="K84" i="21"/>
  <c r="K82" i="21"/>
  <c r="K80" i="21"/>
  <c r="K75" i="21"/>
  <c r="K64" i="21"/>
  <c r="K57" i="21"/>
  <c r="K56" i="21"/>
  <c r="K47" i="21"/>
  <c r="K46" i="21"/>
  <c r="K40" i="21"/>
  <c r="K39" i="21"/>
  <c r="Q16" i="21"/>
  <c r="Q17" i="21"/>
  <c r="Q18" i="21"/>
  <c r="Q19" i="21"/>
  <c r="K19" i="21" s="1"/>
  <c r="Q20" i="21"/>
  <c r="Q21" i="21"/>
  <c r="Q22" i="21"/>
  <c r="Q23" i="21"/>
  <c r="K23" i="21" s="1"/>
  <c r="N23" i="21" s="1"/>
  <c r="P23" i="21" s="1"/>
  <c r="Q24" i="21"/>
  <c r="Q25" i="21"/>
  <c r="Q26" i="21"/>
  <c r="Q27" i="21"/>
  <c r="K27" i="21" s="1"/>
  <c r="Q28" i="21"/>
  <c r="Q29" i="21"/>
  <c r="Q30" i="21"/>
  <c r="Q31" i="21"/>
  <c r="K31" i="21" s="1"/>
  <c r="N31" i="21" s="1"/>
  <c r="P31" i="21" s="1"/>
  <c r="Q32" i="21"/>
  <c r="Q33" i="21"/>
  <c r="Q34" i="21"/>
  <c r="Q35" i="21"/>
  <c r="K35" i="21" s="1"/>
  <c r="Q36" i="21"/>
  <c r="Q37" i="21"/>
  <c r="Q38" i="21"/>
  <c r="Q39" i="21"/>
  <c r="Q40" i="21"/>
  <c r="Q41" i="21"/>
  <c r="Q42" i="21"/>
  <c r="Q43" i="21"/>
  <c r="Q44" i="21"/>
  <c r="Q45" i="21"/>
  <c r="Q46" i="21"/>
  <c r="Q47" i="21"/>
  <c r="Q48" i="21"/>
  <c r="Q49" i="21"/>
  <c r="Q50" i="21"/>
  <c r="Q51" i="21"/>
  <c r="Q52" i="21"/>
  <c r="Q53" i="21"/>
  <c r="Q54" i="21"/>
  <c r="Q55" i="21"/>
  <c r="Q56" i="21"/>
  <c r="Q57" i="21"/>
  <c r="Q58" i="21"/>
  <c r="Q59" i="21"/>
  <c r="Q60" i="21"/>
  <c r="Q61" i="21"/>
  <c r="Q62" i="21"/>
  <c r="Q63" i="21"/>
  <c r="Q64" i="21"/>
  <c r="Q65" i="21"/>
  <c r="Q66" i="21"/>
  <c r="Q67" i="21"/>
  <c r="Q68" i="21"/>
  <c r="Q69" i="21"/>
  <c r="Q70" i="21"/>
  <c r="Q71" i="21"/>
  <c r="Q72" i="21"/>
  <c r="Q73" i="21"/>
  <c r="Q74" i="21"/>
  <c r="Q75" i="21"/>
  <c r="Q76" i="21"/>
  <c r="Q77" i="21"/>
  <c r="Q78" i="21"/>
  <c r="Q79" i="21"/>
  <c r="Q80" i="21"/>
  <c r="Q81" i="21"/>
  <c r="Q82" i="21"/>
  <c r="Q83" i="21"/>
  <c r="Q84" i="21"/>
  <c r="K16" i="21"/>
  <c r="K17" i="21"/>
  <c r="K18" i="21"/>
  <c r="M18" i="21" s="1"/>
  <c r="K20" i="21"/>
  <c r="K21" i="21"/>
  <c r="K22" i="21"/>
  <c r="K24" i="21"/>
  <c r="K25" i="21"/>
  <c r="K26" i="21"/>
  <c r="M26" i="21" s="1"/>
  <c r="K28" i="21"/>
  <c r="K29" i="21"/>
  <c r="K30" i="21"/>
  <c r="K32" i="21"/>
  <c r="K33" i="21"/>
  <c r="K34" i="21"/>
  <c r="M34" i="21" s="1"/>
  <c r="K36" i="21"/>
  <c r="K37" i="21"/>
  <c r="K15" i="21"/>
  <c r="Q15" i="21"/>
  <c r="K84" i="20"/>
  <c r="K82" i="20"/>
  <c r="K80" i="20"/>
  <c r="K75" i="20"/>
  <c r="K64" i="20"/>
  <c r="K57" i="20"/>
  <c r="K56" i="20"/>
  <c r="K48" i="20"/>
  <c r="K47" i="20"/>
  <c r="K40" i="20"/>
  <c r="K39" i="20"/>
  <c r="Q16" i="20"/>
  <c r="K16" i="20" s="1"/>
  <c r="N16" i="20" s="1"/>
  <c r="P16" i="20" s="1"/>
  <c r="Q17" i="20"/>
  <c r="Q18" i="20"/>
  <c r="Q19" i="20"/>
  <c r="Q20" i="20"/>
  <c r="K20" i="20" s="1"/>
  <c r="Q21" i="20"/>
  <c r="Q22" i="20"/>
  <c r="Q23" i="20"/>
  <c r="K23" i="20" s="1"/>
  <c r="N23" i="20" s="1"/>
  <c r="P23" i="20" s="1"/>
  <c r="Q24" i="20"/>
  <c r="K24" i="20" s="1"/>
  <c r="N24" i="20" s="1"/>
  <c r="P24" i="20" s="1"/>
  <c r="Q25" i="20"/>
  <c r="Q26" i="20"/>
  <c r="Q27" i="20"/>
  <c r="Q28" i="20"/>
  <c r="K28" i="20" s="1"/>
  <c r="Q29" i="20"/>
  <c r="Q30" i="20"/>
  <c r="Q31" i="20"/>
  <c r="K31" i="20" s="1"/>
  <c r="Q32" i="20"/>
  <c r="K32" i="20" s="1"/>
  <c r="N32" i="20" s="1"/>
  <c r="P32" i="20" s="1"/>
  <c r="Q33" i="20"/>
  <c r="Q34" i="20"/>
  <c r="Q35" i="20"/>
  <c r="Q36" i="20"/>
  <c r="K36" i="20" s="1"/>
  <c r="Q37" i="20"/>
  <c r="Q38" i="20"/>
  <c r="Q39" i="20"/>
  <c r="Q40" i="20"/>
  <c r="Q41" i="20"/>
  <c r="Q42" i="20"/>
  <c r="Q43" i="20"/>
  <c r="Q44" i="20"/>
  <c r="Q45" i="20"/>
  <c r="Q46" i="20"/>
  <c r="Q47" i="20"/>
  <c r="Q48" i="20"/>
  <c r="Q49" i="20"/>
  <c r="Q50" i="20"/>
  <c r="Q51" i="20"/>
  <c r="Q52" i="20"/>
  <c r="Q53" i="20"/>
  <c r="Q54" i="20"/>
  <c r="Q55" i="20"/>
  <c r="Q56" i="20"/>
  <c r="Q57" i="20"/>
  <c r="Q58" i="20"/>
  <c r="Q59" i="20"/>
  <c r="Q60" i="20"/>
  <c r="Q61" i="20"/>
  <c r="Q62" i="20"/>
  <c r="Q63" i="20"/>
  <c r="Q64" i="20"/>
  <c r="Q65" i="20"/>
  <c r="Q66" i="20"/>
  <c r="Q67" i="20"/>
  <c r="Q68" i="20"/>
  <c r="Q69" i="20"/>
  <c r="Q70" i="20"/>
  <c r="Q71" i="20"/>
  <c r="Q72" i="20"/>
  <c r="Q73" i="20"/>
  <c r="Q74" i="20"/>
  <c r="Q75" i="20"/>
  <c r="Q76" i="20"/>
  <c r="Q77" i="20"/>
  <c r="Q78" i="20"/>
  <c r="Q79" i="20"/>
  <c r="Q80" i="20"/>
  <c r="Q81" i="20"/>
  <c r="Q82" i="20"/>
  <c r="Q83" i="20"/>
  <c r="Q84" i="20"/>
  <c r="K17" i="20"/>
  <c r="K18" i="20"/>
  <c r="N18" i="20" s="1"/>
  <c r="P18" i="20" s="1"/>
  <c r="K19" i="20"/>
  <c r="K21" i="20"/>
  <c r="K22" i="20"/>
  <c r="K25" i="20"/>
  <c r="K26" i="20"/>
  <c r="N26" i="20" s="1"/>
  <c r="P26" i="20" s="1"/>
  <c r="K27" i="20"/>
  <c r="K29" i="20"/>
  <c r="K30" i="20"/>
  <c r="K33" i="20"/>
  <c r="K34" i="20"/>
  <c r="N34" i="20" s="1"/>
  <c r="P34" i="20" s="1"/>
  <c r="K35" i="20"/>
  <c r="K37" i="20"/>
  <c r="K15" i="20"/>
  <c r="Q15" i="20"/>
  <c r="K84" i="19"/>
  <c r="K82" i="19"/>
  <c r="K80" i="19"/>
  <c r="K75" i="19"/>
  <c r="K64" i="19"/>
  <c r="K57" i="19"/>
  <c r="K56" i="19"/>
  <c r="K48" i="19"/>
  <c r="K47" i="19"/>
  <c r="Q16" i="19"/>
  <c r="Q17" i="19"/>
  <c r="Q18" i="19"/>
  <c r="Q19" i="19"/>
  <c r="Q20" i="19"/>
  <c r="Q21" i="19"/>
  <c r="Q22" i="19"/>
  <c r="K22" i="19" s="1"/>
  <c r="N22" i="19" s="1"/>
  <c r="P22" i="19" s="1"/>
  <c r="Q23" i="19"/>
  <c r="K23" i="19" s="1"/>
  <c r="N23" i="19" s="1"/>
  <c r="P23" i="19" s="1"/>
  <c r="Q24" i="19"/>
  <c r="Q25" i="19"/>
  <c r="Q26" i="19"/>
  <c r="Q27" i="19"/>
  <c r="Q28" i="19"/>
  <c r="Q29" i="19"/>
  <c r="Q30" i="19"/>
  <c r="K30" i="19" s="1"/>
  <c r="N30" i="19" s="1"/>
  <c r="P30" i="19" s="1"/>
  <c r="Q31" i="19"/>
  <c r="K31" i="19" s="1"/>
  <c r="N31" i="19" s="1"/>
  <c r="P31" i="19" s="1"/>
  <c r="Q32" i="19"/>
  <c r="Q33" i="19"/>
  <c r="Q34" i="19"/>
  <c r="Q35" i="19"/>
  <c r="Q36" i="19"/>
  <c r="Q37" i="19"/>
  <c r="Q38" i="19"/>
  <c r="Q39" i="19"/>
  <c r="K39" i="19" s="1"/>
  <c r="N39" i="19" s="1"/>
  <c r="P39" i="19" s="1"/>
  <c r="Q40" i="19"/>
  <c r="Q41" i="19"/>
  <c r="Q42" i="19"/>
  <c r="Q43" i="19"/>
  <c r="Q44" i="19"/>
  <c r="Q45" i="19"/>
  <c r="Q46" i="19"/>
  <c r="Q47" i="19"/>
  <c r="Q48" i="19"/>
  <c r="Q49" i="19"/>
  <c r="Q50" i="19"/>
  <c r="Q51" i="19"/>
  <c r="Q52" i="19"/>
  <c r="Q53" i="19"/>
  <c r="Q54" i="19"/>
  <c r="Q55" i="19"/>
  <c r="Q56" i="19"/>
  <c r="Q57" i="19"/>
  <c r="Q58" i="19"/>
  <c r="Q59" i="19"/>
  <c r="Q60" i="19"/>
  <c r="Q61" i="19"/>
  <c r="Q62" i="19"/>
  <c r="Q63" i="19"/>
  <c r="Q64" i="19"/>
  <c r="Q65" i="19"/>
  <c r="Q66" i="19"/>
  <c r="Q67" i="19"/>
  <c r="Q68" i="19"/>
  <c r="Q69" i="19"/>
  <c r="Q70" i="19"/>
  <c r="Q71" i="19"/>
  <c r="Q72" i="19"/>
  <c r="Q73" i="19"/>
  <c r="Q74" i="19"/>
  <c r="Q75" i="19"/>
  <c r="Q76" i="19"/>
  <c r="Q77" i="19"/>
  <c r="Q78" i="19"/>
  <c r="Q79" i="19"/>
  <c r="Q80" i="19"/>
  <c r="Q81" i="19"/>
  <c r="Q82" i="19"/>
  <c r="Q83" i="19"/>
  <c r="Q84" i="19"/>
  <c r="Q15" i="19"/>
  <c r="K38" i="19"/>
  <c r="N38" i="19" s="1"/>
  <c r="P38" i="19" s="1"/>
  <c r="K19" i="19"/>
  <c r="N19" i="19" s="1"/>
  <c r="P19" i="19" s="1"/>
  <c r="K20" i="19"/>
  <c r="N20" i="19" s="1"/>
  <c r="P20" i="19" s="1"/>
  <c r="K21" i="19"/>
  <c r="N21" i="19" s="1"/>
  <c r="P21" i="19" s="1"/>
  <c r="K27" i="19"/>
  <c r="N27" i="19" s="1"/>
  <c r="P27" i="19" s="1"/>
  <c r="K28" i="19"/>
  <c r="N28" i="19" s="1"/>
  <c r="P28" i="19" s="1"/>
  <c r="K29" i="19"/>
  <c r="N29" i="19" s="1"/>
  <c r="P29" i="19" s="1"/>
  <c r="K35" i="19"/>
  <c r="N35" i="19" s="1"/>
  <c r="P35" i="19" s="1"/>
  <c r="K36" i="19"/>
  <c r="N36" i="19" s="1"/>
  <c r="P36" i="19" s="1"/>
  <c r="N16" i="19"/>
  <c r="P16" i="19" s="1"/>
  <c r="N17" i="19"/>
  <c r="P17" i="19" s="1"/>
  <c r="K18" i="19"/>
  <c r="N18" i="19" s="1"/>
  <c r="P18" i="19" s="1"/>
  <c r="K24" i="19"/>
  <c r="N24" i="19" s="1"/>
  <c r="P24" i="19" s="1"/>
  <c r="K25" i="19"/>
  <c r="N25" i="19" s="1"/>
  <c r="P25" i="19" s="1"/>
  <c r="K26" i="19"/>
  <c r="N26" i="19" s="1"/>
  <c r="P26" i="19" s="1"/>
  <c r="K32" i="19"/>
  <c r="M32" i="19" s="1"/>
  <c r="K33" i="19"/>
  <c r="K34" i="19"/>
  <c r="N34" i="19" s="1"/>
  <c r="P34" i="19" s="1"/>
  <c r="K15" i="19"/>
  <c r="K83" i="18"/>
  <c r="K81" i="18"/>
  <c r="K79" i="18"/>
  <c r="K74" i="18"/>
  <c r="K63" i="18"/>
  <c r="K56" i="18"/>
  <c r="K55" i="18"/>
  <c r="K46" i="18"/>
  <c r="K45" i="18"/>
  <c r="K38" i="18"/>
  <c r="K37" i="18"/>
  <c r="K16" i="18"/>
  <c r="K19" i="18"/>
  <c r="K20" i="18"/>
  <c r="K21" i="18"/>
  <c r="K22" i="18"/>
  <c r="K23" i="18"/>
  <c r="M23" i="18" s="1"/>
  <c r="K24" i="18"/>
  <c r="K25" i="18"/>
  <c r="K26" i="18"/>
  <c r="K27" i="18"/>
  <c r="K28" i="18"/>
  <c r="K29" i="18"/>
  <c r="K30" i="18"/>
  <c r="K31" i="18"/>
  <c r="M31" i="18" s="1"/>
  <c r="K32" i="18"/>
  <c r="K33" i="18"/>
  <c r="K34" i="18"/>
  <c r="K35" i="18"/>
  <c r="Q16" i="18"/>
  <c r="Q17" i="18"/>
  <c r="Q18" i="18"/>
  <c r="Q19" i="18"/>
  <c r="Q20" i="18"/>
  <c r="Q21" i="18"/>
  <c r="Q22" i="18"/>
  <c r="Q23" i="18"/>
  <c r="Q24" i="18"/>
  <c r="Q25" i="18"/>
  <c r="Q26" i="18"/>
  <c r="Q27" i="18"/>
  <c r="Q28" i="18"/>
  <c r="Q29" i="18"/>
  <c r="Q30" i="18"/>
  <c r="Q31" i="18"/>
  <c r="Q32" i="18"/>
  <c r="Q33" i="18"/>
  <c r="Q34" i="18"/>
  <c r="Q35" i="18"/>
  <c r="Q36" i="18"/>
  <c r="Q37" i="18"/>
  <c r="Q38" i="18"/>
  <c r="Q39" i="18"/>
  <c r="Q40" i="18"/>
  <c r="Q41" i="18"/>
  <c r="Q42" i="18"/>
  <c r="Q43" i="18"/>
  <c r="Q44" i="18"/>
  <c r="Q45" i="18"/>
  <c r="Q46" i="18"/>
  <c r="Q47" i="18"/>
  <c r="Q48" i="18"/>
  <c r="Q49" i="18"/>
  <c r="Q50" i="18"/>
  <c r="Q51" i="18"/>
  <c r="Q52" i="18"/>
  <c r="Q53" i="18"/>
  <c r="Q54" i="18"/>
  <c r="Q55" i="18"/>
  <c r="Q56" i="18"/>
  <c r="Q57" i="18"/>
  <c r="Q58" i="18"/>
  <c r="Q59" i="18"/>
  <c r="Q60" i="18"/>
  <c r="Q61" i="18"/>
  <c r="Q62" i="18"/>
  <c r="Q63" i="18"/>
  <c r="Q64" i="18"/>
  <c r="Q65" i="18"/>
  <c r="Q66" i="18"/>
  <c r="Q67" i="18"/>
  <c r="Q68" i="18"/>
  <c r="Q69" i="18"/>
  <c r="Q70" i="18"/>
  <c r="Q71" i="18"/>
  <c r="Q72" i="18"/>
  <c r="Q73" i="18"/>
  <c r="Q74" i="18"/>
  <c r="Q75" i="18"/>
  <c r="Q76" i="18"/>
  <c r="Q77" i="18"/>
  <c r="Q78" i="18"/>
  <c r="Q79" i="18"/>
  <c r="Q80" i="18"/>
  <c r="Q81" i="18"/>
  <c r="Q82" i="18"/>
  <c r="Q83" i="18"/>
  <c r="K15" i="18"/>
  <c r="Q15" i="18"/>
  <c r="K75" i="17"/>
  <c r="K73" i="17"/>
  <c r="K71" i="17"/>
  <c r="K69" i="17"/>
  <c r="K68" i="17"/>
  <c r="K66" i="17"/>
  <c r="K56" i="17"/>
  <c r="K52" i="17"/>
  <c r="K51" i="17"/>
  <c r="K43" i="17"/>
  <c r="K42" i="17"/>
  <c r="K38" i="17"/>
  <c r="K37" i="17"/>
  <c r="Q16" i="17"/>
  <c r="Q17" i="17"/>
  <c r="Q18" i="17"/>
  <c r="K18" i="17" s="1"/>
  <c r="Q19" i="17"/>
  <c r="Q20" i="17"/>
  <c r="Q21" i="17"/>
  <c r="Q22" i="17"/>
  <c r="Q23" i="17"/>
  <c r="K23" i="17" s="1"/>
  <c r="N23" i="17" s="1"/>
  <c r="P23" i="17" s="1"/>
  <c r="Q24" i="17"/>
  <c r="Q25" i="17"/>
  <c r="Q26" i="17"/>
  <c r="K26" i="17" s="1"/>
  <c r="Q27" i="17"/>
  <c r="Q28" i="17"/>
  <c r="Q29" i="17"/>
  <c r="Q30" i="17"/>
  <c r="Q31" i="17"/>
  <c r="K31" i="17" s="1"/>
  <c r="N31" i="17" s="1"/>
  <c r="P31" i="17" s="1"/>
  <c r="Q32" i="17"/>
  <c r="Q33" i="17"/>
  <c r="Q34" i="17"/>
  <c r="K34" i="17" s="1"/>
  <c r="Q35" i="17"/>
  <c r="Q36" i="17"/>
  <c r="Q37" i="17"/>
  <c r="Q38" i="17"/>
  <c r="Q39" i="17"/>
  <c r="Q40" i="17"/>
  <c r="Q41" i="17"/>
  <c r="Q42" i="17"/>
  <c r="Q43" i="17"/>
  <c r="Q44" i="17"/>
  <c r="Q45" i="17"/>
  <c r="Q46" i="17"/>
  <c r="Q47" i="17"/>
  <c r="Q48" i="17"/>
  <c r="Q49" i="17"/>
  <c r="Q50" i="17"/>
  <c r="Q51" i="17"/>
  <c r="Q52" i="17"/>
  <c r="Q53" i="17"/>
  <c r="Q54" i="17"/>
  <c r="Q55" i="17"/>
  <c r="Q56" i="17"/>
  <c r="Q57" i="17"/>
  <c r="Q58" i="17"/>
  <c r="Q59" i="17"/>
  <c r="Q60" i="17"/>
  <c r="Q61" i="17"/>
  <c r="Q62" i="17"/>
  <c r="Q63" i="17"/>
  <c r="Q64" i="17"/>
  <c r="Q65" i="17"/>
  <c r="Q66" i="17"/>
  <c r="Q67" i="17"/>
  <c r="Q68" i="17"/>
  <c r="Q69" i="17"/>
  <c r="Q70" i="17"/>
  <c r="Q71" i="17"/>
  <c r="Q72" i="17"/>
  <c r="Q73" i="17"/>
  <c r="Q74" i="17"/>
  <c r="Q75" i="17"/>
  <c r="K16" i="17"/>
  <c r="K17" i="17"/>
  <c r="K19" i="17"/>
  <c r="N19" i="17" s="1"/>
  <c r="P19" i="17" s="1"/>
  <c r="K20" i="17"/>
  <c r="K21" i="17"/>
  <c r="K22" i="17"/>
  <c r="K24" i="17"/>
  <c r="K25" i="17"/>
  <c r="K27" i="17"/>
  <c r="N27" i="17" s="1"/>
  <c r="P27" i="17" s="1"/>
  <c r="K28" i="17"/>
  <c r="K29" i="17"/>
  <c r="K30" i="17"/>
  <c r="K32" i="17"/>
  <c r="K33" i="17"/>
  <c r="K35" i="17"/>
  <c r="N35" i="17" s="1"/>
  <c r="P35" i="17" s="1"/>
  <c r="K15" i="17"/>
  <c r="Q15" i="17"/>
  <c r="R16" i="7"/>
  <c r="R17" i="7"/>
  <c r="R18" i="7"/>
  <c r="R19" i="7"/>
  <c r="R20" i="7"/>
  <c r="R21" i="7"/>
  <c r="R22" i="7"/>
  <c r="R23" i="7"/>
  <c r="K23" i="7" s="1"/>
  <c r="R24" i="7"/>
  <c r="R25" i="7"/>
  <c r="R26" i="7"/>
  <c r="R27" i="7"/>
  <c r="R28" i="7"/>
  <c r="R29" i="7"/>
  <c r="R30" i="7"/>
  <c r="R31" i="7"/>
  <c r="K31" i="7" s="1"/>
  <c r="R32" i="7"/>
  <c r="R33" i="7"/>
  <c r="R34" i="7"/>
  <c r="R35" i="7"/>
  <c r="R36" i="7"/>
  <c r="R37" i="7"/>
  <c r="R38" i="7"/>
  <c r="R39" i="7"/>
  <c r="K39" i="7" s="1"/>
  <c r="R40" i="7"/>
  <c r="R41" i="7"/>
  <c r="R42" i="7"/>
  <c r="R43" i="7"/>
  <c r="R44" i="7"/>
  <c r="R45" i="7"/>
  <c r="R46" i="7"/>
  <c r="R47" i="7"/>
  <c r="R48" i="7"/>
  <c r="R49" i="7"/>
  <c r="R50" i="7"/>
  <c r="R51" i="7"/>
  <c r="R52" i="7"/>
  <c r="R53" i="7"/>
  <c r="R54" i="7"/>
  <c r="R55" i="7"/>
  <c r="R56" i="7"/>
  <c r="R57" i="7"/>
  <c r="R58" i="7"/>
  <c r="R59" i="7"/>
  <c r="R60" i="7"/>
  <c r="R61" i="7"/>
  <c r="R62" i="7"/>
  <c r="R63" i="7"/>
  <c r="R64" i="7"/>
  <c r="R65" i="7"/>
  <c r="R66" i="7"/>
  <c r="R67" i="7"/>
  <c r="R68" i="7"/>
  <c r="R69" i="7"/>
  <c r="R70" i="7"/>
  <c r="R71" i="7"/>
  <c r="R72" i="7"/>
  <c r="R73" i="7"/>
  <c r="R74" i="7"/>
  <c r="R75" i="7"/>
  <c r="R76" i="7"/>
  <c r="R77" i="7"/>
  <c r="R78" i="7"/>
  <c r="R79" i="7"/>
  <c r="R80" i="7"/>
  <c r="R81" i="7"/>
  <c r="R82" i="7"/>
  <c r="R83" i="7"/>
  <c r="R84" i="7"/>
  <c r="R15" i="7"/>
  <c r="R16" i="8"/>
  <c r="R17" i="8"/>
  <c r="R18" i="8"/>
  <c r="R19" i="8"/>
  <c r="R20" i="8"/>
  <c r="R21" i="8"/>
  <c r="R22" i="8"/>
  <c r="R23" i="8"/>
  <c r="K23" i="8" s="1"/>
  <c r="N23" i="8" s="1"/>
  <c r="P23" i="8" s="1"/>
  <c r="R24" i="8"/>
  <c r="R25" i="8"/>
  <c r="R26" i="8"/>
  <c r="R27" i="8"/>
  <c r="R28" i="8"/>
  <c r="R29" i="8"/>
  <c r="R30" i="8"/>
  <c r="R31" i="8"/>
  <c r="K31" i="8" s="1"/>
  <c r="N31" i="8" s="1"/>
  <c r="P31" i="8" s="1"/>
  <c r="R32" i="8"/>
  <c r="R33" i="8"/>
  <c r="R34" i="8"/>
  <c r="R35" i="8"/>
  <c r="R36" i="8"/>
  <c r="R37" i="8"/>
  <c r="R38" i="8"/>
  <c r="R39" i="8"/>
  <c r="K39" i="8" s="1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K55" i="8" s="1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R71" i="8"/>
  <c r="R72" i="8"/>
  <c r="R73" i="8"/>
  <c r="R74" i="8"/>
  <c r="R75" i="8"/>
  <c r="R76" i="8"/>
  <c r="R77" i="8"/>
  <c r="R78" i="8"/>
  <c r="R79" i="8"/>
  <c r="R80" i="8"/>
  <c r="K80" i="8" s="1"/>
  <c r="R81" i="8"/>
  <c r="R82" i="8"/>
  <c r="R15" i="8"/>
  <c r="K100" i="9"/>
  <c r="Q16" i="9"/>
  <c r="Q17" i="9"/>
  <c r="Q18" i="9"/>
  <c r="Q19" i="9"/>
  <c r="Q20" i="9"/>
  <c r="K20" i="9" s="1"/>
  <c r="Q21" i="9"/>
  <c r="Q22" i="9"/>
  <c r="Q23" i="9"/>
  <c r="Q24" i="9"/>
  <c r="Q25" i="9"/>
  <c r="Q26" i="9"/>
  <c r="Q27" i="9"/>
  <c r="Q28" i="9"/>
  <c r="Q29" i="9"/>
  <c r="Q30" i="9"/>
  <c r="Q31" i="9"/>
  <c r="Q32" i="9"/>
  <c r="Q33" i="9"/>
  <c r="Q34" i="9"/>
  <c r="Q35" i="9"/>
  <c r="Q36" i="9"/>
  <c r="Q37" i="9"/>
  <c r="Q38" i="9"/>
  <c r="Q39" i="9"/>
  <c r="Q40" i="9"/>
  <c r="Q41" i="9"/>
  <c r="Q42" i="9"/>
  <c r="Q43" i="9"/>
  <c r="Q44" i="9"/>
  <c r="Q45" i="9"/>
  <c r="Q46" i="9"/>
  <c r="Q47" i="9"/>
  <c r="K47" i="9" s="1"/>
  <c r="Q48" i="9"/>
  <c r="Q49" i="9"/>
  <c r="Q50" i="9"/>
  <c r="Q51" i="9"/>
  <c r="Q52" i="9"/>
  <c r="Q53" i="9"/>
  <c r="Q54" i="9"/>
  <c r="Q55" i="9"/>
  <c r="Q56" i="9"/>
  <c r="Q57" i="9"/>
  <c r="Q58" i="9"/>
  <c r="Q59" i="9"/>
  <c r="Q60" i="9"/>
  <c r="Q61" i="9"/>
  <c r="Q62" i="9"/>
  <c r="Q63" i="9"/>
  <c r="Q64" i="9"/>
  <c r="Q67" i="9"/>
  <c r="Q68" i="9"/>
  <c r="Q69" i="9"/>
  <c r="Q70" i="9"/>
  <c r="Q71" i="9"/>
  <c r="Q72" i="9"/>
  <c r="Q73" i="9"/>
  <c r="Q74" i="9"/>
  <c r="Q75" i="9"/>
  <c r="Q76" i="9"/>
  <c r="Q77" i="9"/>
  <c r="Q78" i="9"/>
  <c r="Q79" i="9"/>
  <c r="Q80" i="9"/>
  <c r="Q81" i="9"/>
  <c r="Q82" i="9"/>
  <c r="Q83" i="9"/>
  <c r="Q84" i="9"/>
  <c r="Q85" i="9"/>
  <c r="Q86" i="9"/>
  <c r="Q87" i="9"/>
  <c r="Q88" i="9"/>
  <c r="K88" i="9" s="1"/>
  <c r="Q89" i="9"/>
  <c r="Q90" i="9"/>
  <c r="Q91" i="9"/>
  <c r="Q92" i="9"/>
  <c r="K92" i="9" s="1"/>
  <c r="Q93" i="9"/>
  <c r="Q94" i="9"/>
  <c r="Q95" i="9"/>
  <c r="K95" i="9" s="1"/>
  <c r="Q96" i="9"/>
  <c r="K96" i="9" s="1"/>
  <c r="Q97" i="9"/>
  <c r="Q98" i="9"/>
  <c r="Q99" i="9"/>
  <c r="Q100" i="9"/>
  <c r="Q15" i="9"/>
  <c r="Q16" i="10"/>
  <c r="Q17" i="10"/>
  <c r="Q18" i="10"/>
  <c r="K18" i="10" s="1"/>
  <c r="Q19" i="10"/>
  <c r="Q20" i="10"/>
  <c r="Q21" i="10"/>
  <c r="Q22" i="10"/>
  <c r="Q23" i="10"/>
  <c r="K23" i="10" s="1"/>
  <c r="Q24" i="10"/>
  <c r="K24" i="10" s="1"/>
  <c r="Q25" i="10"/>
  <c r="Q26" i="10"/>
  <c r="Q27" i="10"/>
  <c r="Q28" i="10"/>
  <c r="Q29" i="10"/>
  <c r="Q30" i="10"/>
  <c r="Q31" i="10"/>
  <c r="K31" i="10" s="1"/>
  <c r="Q32" i="10"/>
  <c r="K32" i="10" s="1"/>
  <c r="Q33" i="10"/>
  <c r="Q34" i="10"/>
  <c r="Q35" i="10"/>
  <c r="Q36" i="10"/>
  <c r="Q37" i="10"/>
  <c r="Q38" i="10"/>
  <c r="Q39" i="10"/>
  <c r="Q40" i="10"/>
  <c r="K40" i="10" s="1"/>
  <c r="Q41" i="10"/>
  <c r="K41" i="10" s="1"/>
  <c r="Q42" i="10"/>
  <c r="Q43" i="10"/>
  <c r="Q44" i="10"/>
  <c r="Q45" i="10"/>
  <c r="Q46" i="10"/>
  <c r="Q47" i="10"/>
  <c r="Q48" i="10"/>
  <c r="Q49" i="10"/>
  <c r="Q50" i="10"/>
  <c r="Q51" i="10"/>
  <c r="Q52" i="10"/>
  <c r="Q53" i="10"/>
  <c r="Q54" i="10"/>
  <c r="Q55" i="10"/>
  <c r="Q56" i="10"/>
  <c r="Q57" i="10"/>
  <c r="Q58" i="10"/>
  <c r="Q59" i="10"/>
  <c r="Q60" i="10"/>
  <c r="Q61" i="10"/>
  <c r="Q62" i="10"/>
  <c r="Q63" i="10"/>
  <c r="Q64" i="10"/>
  <c r="Q65" i="10"/>
  <c r="Q66" i="10"/>
  <c r="Q67" i="10"/>
  <c r="Q68" i="10"/>
  <c r="Q69" i="10"/>
  <c r="Q70" i="10"/>
  <c r="Q71" i="10"/>
  <c r="Q72" i="10"/>
  <c r="Q73" i="10"/>
  <c r="Q74" i="10"/>
  <c r="Q75" i="10"/>
  <c r="Q76" i="10"/>
  <c r="Q77" i="10"/>
  <c r="Q78" i="10"/>
  <c r="Q79" i="10"/>
  <c r="Q80" i="10"/>
  <c r="Q81" i="10"/>
  <c r="Q82" i="10"/>
  <c r="K82" i="10" s="1"/>
  <c r="Q15" i="10"/>
  <c r="Q16" i="11"/>
  <c r="Q17" i="11"/>
  <c r="Q18" i="11"/>
  <c r="Q19" i="11"/>
  <c r="Q20" i="11"/>
  <c r="Q21" i="11"/>
  <c r="K21" i="11" s="1"/>
  <c r="Q22" i="11"/>
  <c r="Q23" i="11"/>
  <c r="Q24" i="11"/>
  <c r="Q25" i="11"/>
  <c r="Q26" i="11"/>
  <c r="Q27" i="11"/>
  <c r="Q28" i="11"/>
  <c r="Q29" i="11"/>
  <c r="K29" i="11" s="1"/>
  <c r="Q30" i="11"/>
  <c r="Q31" i="11"/>
  <c r="Q32" i="11"/>
  <c r="Q33" i="11"/>
  <c r="Q34" i="11"/>
  <c r="Q35" i="11"/>
  <c r="Q36" i="11"/>
  <c r="Q37" i="11"/>
  <c r="K37" i="11" s="1"/>
  <c r="Q38" i="11"/>
  <c r="Q39" i="11"/>
  <c r="Q40" i="11"/>
  <c r="Q41" i="11"/>
  <c r="Q42" i="11"/>
  <c r="Q43" i="11"/>
  <c r="Q44" i="11"/>
  <c r="Q45" i="11"/>
  <c r="Q46" i="11"/>
  <c r="Q47" i="11"/>
  <c r="Q48" i="11"/>
  <c r="Q49" i="11"/>
  <c r="Q50" i="11"/>
  <c r="Q51" i="11"/>
  <c r="Q52" i="11"/>
  <c r="Q53" i="11"/>
  <c r="Q54" i="11"/>
  <c r="Q55" i="11"/>
  <c r="Q56" i="11"/>
  <c r="Q57" i="11"/>
  <c r="Q58" i="11"/>
  <c r="Q59" i="11"/>
  <c r="Q60" i="11"/>
  <c r="Q61" i="11"/>
  <c r="Q62" i="11"/>
  <c r="Q63" i="11"/>
  <c r="Q64" i="11"/>
  <c r="Q65" i="11"/>
  <c r="Q66" i="11"/>
  <c r="Q67" i="11"/>
  <c r="Q68" i="11"/>
  <c r="Q69" i="11"/>
  <c r="Q70" i="11"/>
  <c r="Q71" i="11"/>
  <c r="Q72" i="11"/>
  <c r="Q73" i="11"/>
  <c r="Q74" i="11"/>
  <c r="Q75" i="11"/>
  <c r="Q76" i="11"/>
  <c r="Q77" i="11"/>
  <c r="K77" i="11" s="1"/>
  <c r="Q15" i="11"/>
  <c r="K15" i="11" s="1"/>
  <c r="Q16" i="12"/>
  <c r="Q17" i="12"/>
  <c r="Q18" i="12"/>
  <c r="Q19" i="12"/>
  <c r="Q20" i="12"/>
  <c r="Q21" i="12"/>
  <c r="Q22" i="12"/>
  <c r="Q23" i="12"/>
  <c r="Q24" i="12"/>
  <c r="Q25" i="12"/>
  <c r="Q26" i="12"/>
  <c r="Q27" i="12"/>
  <c r="Q28" i="12"/>
  <c r="Q29" i="12"/>
  <c r="Q30" i="12"/>
  <c r="Q31" i="12"/>
  <c r="Q32" i="12"/>
  <c r="Q33" i="12"/>
  <c r="Q34" i="12"/>
  <c r="Q35" i="12"/>
  <c r="Q36" i="12"/>
  <c r="Q37" i="12"/>
  <c r="Q38" i="12"/>
  <c r="Q39" i="12"/>
  <c r="Q40" i="12"/>
  <c r="Q41" i="12"/>
  <c r="Q42" i="12"/>
  <c r="Q43" i="12"/>
  <c r="Q44" i="12"/>
  <c r="Q45" i="12"/>
  <c r="Q46" i="12"/>
  <c r="Q47" i="12"/>
  <c r="Q48" i="12"/>
  <c r="Q49" i="12"/>
  <c r="Q50" i="12"/>
  <c r="Q51" i="12"/>
  <c r="Q52" i="12"/>
  <c r="Q53" i="12"/>
  <c r="Q54" i="12"/>
  <c r="Q55" i="12"/>
  <c r="Q56" i="12"/>
  <c r="Q57" i="12"/>
  <c r="Q58" i="12"/>
  <c r="Q59" i="12"/>
  <c r="Q60" i="12"/>
  <c r="Q61" i="12"/>
  <c r="Q62" i="12"/>
  <c r="Q63" i="12"/>
  <c r="Q64" i="12"/>
  <c r="Q65" i="12"/>
  <c r="Q66" i="12"/>
  <c r="Q67" i="12"/>
  <c r="Q68" i="12"/>
  <c r="Q69" i="12"/>
  <c r="Q70" i="12"/>
  <c r="Q71" i="12"/>
  <c r="Q74" i="12"/>
  <c r="Q77" i="12"/>
  <c r="Q80" i="12"/>
  <c r="Q81" i="12"/>
  <c r="Q82" i="12"/>
  <c r="Q83" i="12"/>
  <c r="Q84" i="12"/>
  <c r="Q85" i="12"/>
  <c r="Q86" i="12"/>
  <c r="Q87" i="12"/>
  <c r="Q88" i="12"/>
  <c r="Q89" i="12"/>
  <c r="Q90" i="12"/>
  <c r="Q91" i="12"/>
  <c r="Q92" i="12"/>
  <c r="Q93" i="12"/>
  <c r="Q94" i="12"/>
  <c r="Q95" i="12"/>
  <c r="Q96" i="12"/>
  <c r="Q97" i="12"/>
  <c r="Q98" i="12"/>
  <c r="Q99" i="12"/>
  <c r="Q100" i="12"/>
  <c r="Q101" i="12"/>
  <c r="Q102" i="12"/>
  <c r="Q103" i="12"/>
  <c r="Q104" i="12"/>
  <c r="Q105" i="12"/>
  <c r="Q106" i="12"/>
  <c r="Q107" i="12"/>
  <c r="Q108" i="12"/>
  <c r="Q109" i="12"/>
  <c r="Q110" i="12"/>
  <c r="Q111" i="12"/>
  <c r="Q112" i="12"/>
  <c r="Q113" i="12"/>
  <c r="Q114" i="12"/>
  <c r="Q115" i="12"/>
  <c r="Q116" i="12"/>
  <c r="Q117" i="12"/>
  <c r="Q118" i="12"/>
  <c r="Q119" i="12"/>
  <c r="Q120" i="12"/>
  <c r="Q121" i="12"/>
  <c r="Q15" i="12"/>
  <c r="Q16" i="13"/>
  <c r="Q17" i="13"/>
  <c r="Q18" i="13"/>
  <c r="Q19" i="13"/>
  <c r="K19" i="13" s="1"/>
  <c r="N19" i="13" s="1"/>
  <c r="P19" i="13" s="1"/>
  <c r="Q20" i="13"/>
  <c r="Q21" i="13"/>
  <c r="Q22" i="13"/>
  <c r="Q23" i="13"/>
  <c r="K23" i="13" s="1"/>
  <c r="N23" i="13" s="1"/>
  <c r="P23" i="13" s="1"/>
  <c r="Q24" i="13"/>
  <c r="K24" i="13" s="1"/>
  <c r="N24" i="13" s="1"/>
  <c r="P24" i="13" s="1"/>
  <c r="Q25" i="13"/>
  <c r="Q26" i="13"/>
  <c r="Q27" i="13"/>
  <c r="K27" i="13" s="1"/>
  <c r="N27" i="13" s="1"/>
  <c r="P27" i="13" s="1"/>
  <c r="Q28" i="13"/>
  <c r="Q29" i="13"/>
  <c r="Q30" i="13"/>
  <c r="Q31" i="13"/>
  <c r="K31" i="13" s="1"/>
  <c r="N31" i="13" s="1"/>
  <c r="P31" i="13" s="1"/>
  <c r="Q32" i="13"/>
  <c r="K32" i="13" s="1"/>
  <c r="N32" i="13" s="1"/>
  <c r="P32" i="13" s="1"/>
  <c r="Q33" i="13"/>
  <c r="Q34" i="13"/>
  <c r="Q35" i="13"/>
  <c r="K35" i="13" s="1"/>
  <c r="N35" i="13" s="1"/>
  <c r="P35" i="13" s="1"/>
  <c r="Q36" i="13"/>
  <c r="Q37" i="13"/>
  <c r="Q38" i="13"/>
  <c r="Q39" i="13"/>
  <c r="Q40" i="13"/>
  <c r="K40" i="13" s="1"/>
  <c r="N40" i="13" s="1"/>
  <c r="P40" i="13" s="1"/>
  <c r="P39" i="13" s="1"/>
  <c r="Q41" i="13"/>
  <c r="Q42" i="13"/>
  <c r="Q43" i="13"/>
  <c r="Q44" i="13"/>
  <c r="Q45" i="13"/>
  <c r="Q46" i="13"/>
  <c r="Q47" i="13"/>
  <c r="Q48" i="13"/>
  <c r="Q49" i="13"/>
  <c r="Q50" i="13"/>
  <c r="Q51" i="13"/>
  <c r="Q52" i="13"/>
  <c r="Q53" i="13"/>
  <c r="Q54" i="13"/>
  <c r="Q55" i="13"/>
  <c r="Q56" i="13"/>
  <c r="Q57" i="13"/>
  <c r="Q58" i="13"/>
  <c r="Q59" i="13"/>
  <c r="Q60" i="13"/>
  <c r="Q61" i="13"/>
  <c r="Q62" i="13"/>
  <c r="Q63" i="13"/>
  <c r="Q64" i="13"/>
  <c r="Q65" i="13"/>
  <c r="Q66" i="13"/>
  <c r="Q67" i="13"/>
  <c r="Q68" i="13"/>
  <c r="Q69" i="13"/>
  <c r="Q70" i="13"/>
  <c r="Q71" i="13"/>
  <c r="Q72" i="13"/>
  <c r="Q73" i="13"/>
  <c r="Q74" i="13"/>
  <c r="Q75" i="13"/>
  <c r="Q76" i="13"/>
  <c r="Q77" i="13"/>
  <c r="Q78" i="13"/>
  <c r="Q79" i="13"/>
  <c r="Q80" i="13"/>
  <c r="Q81" i="13"/>
  <c r="Q82" i="13"/>
  <c r="Q83" i="13"/>
  <c r="K83" i="13" s="1"/>
  <c r="N83" i="13" s="1"/>
  <c r="P83" i="13" s="1"/>
  <c r="Q84" i="13"/>
  <c r="Q85" i="13"/>
  <c r="Q15" i="13"/>
  <c r="K18" i="13"/>
  <c r="N18" i="13" s="1"/>
  <c r="P18" i="13" s="1"/>
  <c r="K20" i="13"/>
  <c r="K26" i="13"/>
  <c r="N26" i="13" s="1"/>
  <c r="P26" i="13" s="1"/>
  <c r="K28" i="13"/>
  <c r="K34" i="13"/>
  <c r="N34" i="13" s="1"/>
  <c r="P34" i="13" s="1"/>
  <c r="K36" i="13"/>
  <c r="K58" i="13"/>
  <c r="N58" i="13" s="1"/>
  <c r="P58" i="13" s="1"/>
  <c r="K76" i="13"/>
  <c r="N76" i="13" s="1"/>
  <c r="P76" i="13" s="1"/>
  <c r="S16" i="14"/>
  <c r="S17" i="14"/>
  <c r="S18" i="14"/>
  <c r="S19" i="14"/>
  <c r="K19" i="14" s="1"/>
  <c r="S20" i="14"/>
  <c r="S21" i="14"/>
  <c r="S22" i="14"/>
  <c r="S23" i="14"/>
  <c r="K23" i="14" s="1"/>
  <c r="S24" i="14"/>
  <c r="S25" i="14"/>
  <c r="S26" i="14"/>
  <c r="K26" i="14" s="1"/>
  <c r="N26" i="14" s="1"/>
  <c r="P26" i="14" s="1"/>
  <c r="S27" i="14"/>
  <c r="S28" i="14"/>
  <c r="S29" i="14"/>
  <c r="S30" i="14"/>
  <c r="S31" i="14"/>
  <c r="K31" i="14" s="1"/>
  <c r="S32" i="14"/>
  <c r="K32" i="14" s="1"/>
  <c r="S33" i="14"/>
  <c r="S34" i="14"/>
  <c r="S35" i="14"/>
  <c r="S36" i="14"/>
  <c r="S37" i="14"/>
  <c r="S38" i="14"/>
  <c r="S39" i="14"/>
  <c r="S40" i="14"/>
  <c r="S41" i="14"/>
  <c r="S42" i="14"/>
  <c r="K42" i="14" s="1"/>
  <c r="S43" i="14"/>
  <c r="S44" i="14"/>
  <c r="S45" i="14"/>
  <c r="S46" i="14"/>
  <c r="S47" i="14"/>
  <c r="S48" i="14"/>
  <c r="S49" i="14"/>
  <c r="S50" i="14"/>
  <c r="S51" i="14"/>
  <c r="S52" i="14"/>
  <c r="S53" i="14"/>
  <c r="S54" i="14"/>
  <c r="S55" i="14"/>
  <c r="S56" i="14"/>
  <c r="S57" i="14"/>
  <c r="S58" i="14"/>
  <c r="S59" i="14"/>
  <c r="S60" i="14"/>
  <c r="S61" i="14"/>
  <c r="S62" i="14"/>
  <c r="S63" i="14"/>
  <c r="S64" i="14"/>
  <c r="S65" i="14"/>
  <c r="S66" i="14"/>
  <c r="S67" i="14"/>
  <c r="S68" i="14"/>
  <c r="S69" i="14"/>
  <c r="S70" i="14"/>
  <c r="S71" i="14"/>
  <c r="K71" i="14" s="1"/>
  <c r="S72" i="14"/>
  <c r="S73" i="14"/>
  <c r="S74" i="14"/>
  <c r="S75" i="14"/>
  <c r="S76" i="14"/>
  <c r="S77" i="14"/>
  <c r="S78" i="14"/>
  <c r="K78" i="14" s="1"/>
  <c r="S79" i="14"/>
  <c r="S80" i="14"/>
  <c r="K80" i="14" s="1"/>
  <c r="S15" i="14"/>
  <c r="K24" i="14"/>
  <c r="K38" i="14"/>
  <c r="K51" i="14"/>
  <c r="K52" i="14"/>
  <c r="K82" i="15"/>
  <c r="K80" i="15"/>
  <c r="K78" i="15"/>
  <c r="K73" i="15"/>
  <c r="K62" i="15"/>
  <c r="K55" i="15"/>
  <c r="K54" i="15"/>
  <c r="K46" i="15"/>
  <c r="K45" i="15"/>
  <c r="K38" i="15"/>
  <c r="K37" i="15"/>
  <c r="K19" i="15"/>
  <c r="K20" i="15"/>
  <c r="K21" i="15"/>
  <c r="K22" i="15"/>
  <c r="K23" i="15"/>
  <c r="K24" i="15"/>
  <c r="K25" i="15"/>
  <c r="K26" i="15"/>
  <c r="N26" i="15" s="1"/>
  <c r="P26" i="15" s="1"/>
  <c r="K27" i="15"/>
  <c r="K28" i="15"/>
  <c r="K29" i="15"/>
  <c r="K30" i="15"/>
  <c r="K31" i="15"/>
  <c r="K32" i="15"/>
  <c r="K33" i="15"/>
  <c r="K34" i="15"/>
  <c r="N34" i="15" s="1"/>
  <c r="P34" i="15" s="1"/>
  <c r="K35" i="15"/>
  <c r="K18" i="15"/>
  <c r="K15" i="15"/>
  <c r="S16" i="15"/>
  <c r="S17" i="15"/>
  <c r="S18" i="15"/>
  <c r="S19" i="15"/>
  <c r="S20" i="15"/>
  <c r="S21" i="15"/>
  <c r="S22" i="15"/>
  <c r="S23" i="15"/>
  <c r="S24" i="15"/>
  <c r="S25" i="15"/>
  <c r="S26" i="15"/>
  <c r="S27" i="15"/>
  <c r="S28" i="15"/>
  <c r="S29" i="15"/>
  <c r="S30" i="15"/>
  <c r="S31" i="15"/>
  <c r="S32" i="15"/>
  <c r="S33" i="15"/>
  <c r="S34" i="15"/>
  <c r="S35" i="15"/>
  <c r="S36" i="15"/>
  <c r="S37" i="15"/>
  <c r="S38" i="15"/>
  <c r="S39" i="15"/>
  <c r="S40" i="15"/>
  <c r="S41" i="15"/>
  <c r="S42" i="15"/>
  <c r="S43" i="15"/>
  <c r="S44" i="15"/>
  <c r="S45" i="15"/>
  <c r="S46" i="15"/>
  <c r="S47" i="15"/>
  <c r="S48" i="15"/>
  <c r="S49" i="15"/>
  <c r="S50" i="15"/>
  <c r="S51" i="15"/>
  <c r="S52" i="15"/>
  <c r="S53" i="15"/>
  <c r="S54" i="15"/>
  <c r="S55" i="15"/>
  <c r="S56" i="15"/>
  <c r="S57" i="15"/>
  <c r="S58" i="15"/>
  <c r="S59" i="15"/>
  <c r="S60" i="15"/>
  <c r="S61" i="15"/>
  <c r="S62" i="15"/>
  <c r="S63" i="15"/>
  <c r="S64" i="15"/>
  <c r="S65" i="15"/>
  <c r="S66" i="15"/>
  <c r="S67" i="15"/>
  <c r="S68" i="15"/>
  <c r="S69" i="15"/>
  <c r="S70" i="15"/>
  <c r="S71" i="15"/>
  <c r="S72" i="15"/>
  <c r="S73" i="15"/>
  <c r="S74" i="15"/>
  <c r="S75" i="15"/>
  <c r="S76" i="15"/>
  <c r="S77" i="15"/>
  <c r="S78" i="15"/>
  <c r="S79" i="15"/>
  <c r="S80" i="15"/>
  <c r="S81" i="15"/>
  <c r="S82" i="15"/>
  <c r="S15" i="15"/>
  <c r="K76" i="14"/>
  <c r="K59" i="14"/>
  <c r="M59" i="14" s="1"/>
  <c r="K43" i="14"/>
  <c r="K37" i="14"/>
  <c r="K18" i="14"/>
  <c r="N18" i="14" s="1"/>
  <c r="P18" i="14" s="1"/>
  <c r="K20" i="14"/>
  <c r="K21" i="14"/>
  <c r="K22" i="14"/>
  <c r="N22" i="14" s="1"/>
  <c r="P22" i="14" s="1"/>
  <c r="K25" i="14"/>
  <c r="K27" i="14"/>
  <c r="K28" i="14"/>
  <c r="K29" i="14"/>
  <c r="K30" i="14"/>
  <c r="N30" i="14" s="1"/>
  <c r="P30" i="14" s="1"/>
  <c r="K33" i="14"/>
  <c r="K34" i="14"/>
  <c r="N34" i="14" s="1"/>
  <c r="P34" i="14" s="1"/>
  <c r="K35" i="14"/>
  <c r="K15" i="14"/>
  <c r="K85" i="13"/>
  <c r="K81" i="13"/>
  <c r="N81" i="13" s="1"/>
  <c r="P81" i="13" s="1"/>
  <c r="K65" i="13"/>
  <c r="K57" i="13"/>
  <c r="K49" i="13"/>
  <c r="N49" i="13" s="1"/>
  <c r="P49" i="13" s="1"/>
  <c r="K48" i="13"/>
  <c r="K41" i="13"/>
  <c r="K21" i="13"/>
  <c r="N21" i="13" s="1"/>
  <c r="P21" i="13" s="1"/>
  <c r="K22" i="13"/>
  <c r="N22" i="13" s="1"/>
  <c r="P22" i="13" s="1"/>
  <c r="K25" i="13"/>
  <c r="K29" i="13"/>
  <c r="N29" i="13" s="1"/>
  <c r="P29" i="13" s="1"/>
  <c r="K30" i="13"/>
  <c r="N30" i="13" s="1"/>
  <c r="P30" i="13" s="1"/>
  <c r="K33" i="13"/>
  <c r="K37" i="13"/>
  <c r="N37" i="13" s="1"/>
  <c r="P37" i="13" s="1"/>
  <c r="K38" i="13"/>
  <c r="N38" i="13" s="1"/>
  <c r="P38" i="13" s="1"/>
  <c r="K15" i="13"/>
  <c r="N117" i="12"/>
  <c r="N31" i="12"/>
  <c r="N39" i="12"/>
  <c r="N47" i="12"/>
  <c r="K75" i="11"/>
  <c r="K73" i="11"/>
  <c r="K41" i="11"/>
  <c r="K40" i="11"/>
  <c r="M40" i="11" s="1"/>
  <c r="K19" i="11"/>
  <c r="K20" i="11"/>
  <c r="K22" i="11"/>
  <c r="K23" i="11"/>
  <c r="K24" i="11"/>
  <c r="K25" i="11"/>
  <c r="N25" i="11" s="1"/>
  <c r="P25" i="11" s="1"/>
  <c r="M26" i="11"/>
  <c r="K27" i="11"/>
  <c r="K28" i="11"/>
  <c r="K30" i="11"/>
  <c r="K31" i="11"/>
  <c r="K32" i="11"/>
  <c r="K33" i="11"/>
  <c r="N33" i="11" s="1"/>
  <c r="P33" i="11" s="1"/>
  <c r="K34" i="11"/>
  <c r="M34" i="11" s="1"/>
  <c r="K35" i="11"/>
  <c r="K18" i="11"/>
  <c r="K80" i="10"/>
  <c r="K78" i="10"/>
  <c r="K38" i="10"/>
  <c r="K37" i="10"/>
  <c r="M37" i="10" s="1"/>
  <c r="K19" i="10"/>
  <c r="K20" i="10"/>
  <c r="K21" i="10"/>
  <c r="K22" i="10"/>
  <c r="K25" i="10"/>
  <c r="K26" i="10"/>
  <c r="N26" i="10" s="1"/>
  <c r="P26" i="10" s="1"/>
  <c r="K27" i="10"/>
  <c r="K28" i="10"/>
  <c r="K29" i="10"/>
  <c r="K30" i="10"/>
  <c r="K33" i="10"/>
  <c r="K34" i="10"/>
  <c r="N34" i="10" s="1"/>
  <c r="P34" i="10" s="1"/>
  <c r="K35" i="10"/>
  <c r="K15" i="10"/>
  <c r="K98" i="9"/>
  <c r="K93" i="9"/>
  <c r="N75" i="9"/>
  <c r="P75" i="9" s="1"/>
  <c r="K54" i="9"/>
  <c r="K48" i="9"/>
  <c r="K21" i="9"/>
  <c r="K22" i="9"/>
  <c r="K23" i="9"/>
  <c r="N23" i="9" s="1"/>
  <c r="P23" i="9" s="1"/>
  <c r="K24" i="9"/>
  <c r="K25" i="9"/>
  <c r="K26" i="9"/>
  <c r="K27" i="9"/>
  <c r="M27" i="9" s="1"/>
  <c r="K28" i="9"/>
  <c r="M28" i="9" s="1"/>
  <c r="K29" i="9"/>
  <c r="K30" i="9"/>
  <c r="K31" i="9"/>
  <c r="M31" i="9" s="1"/>
  <c r="K32" i="9"/>
  <c r="K33" i="9"/>
  <c r="K34" i="9"/>
  <c r="K35" i="9"/>
  <c r="M35" i="9" s="1"/>
  <c r="K36" i="9"/>
  <c r="N36" i="9" s="1"/>
  <c r="P36" i="9" s="1"/>
  <c r="K37" i="9"/>
  <c r="K38" i="9"/>
  <c r="K39" i="9"/>
  <c r="N39" i="9" s="1"/>
  <c r="P39" i="9" s="1"/>
  <c r="K40" i="9"/>
  <c r="K41" i="9"/>
  <c r="K42" i="9"/>
  <c r="K43" i="9"/>
  <c r="N43" i="9" s="1"/>
  <c r="P43" i="9" s="1"/>
  <c r="K44" i="9"/>
  <c r="N44" i="9" s="1"/>
  <c r="P44" i="9" s="1"/>
  <c r="K45" i="9"/>
  <c r="K16" i="9"/>
  <c r="M16" i="9" s="1"/>
  <c r="K17" i="9"/>
  <c r="K15" i="9"/>
  <c r="K82" i="8"/>
  <c r="K78" i="8"/>
  <c r="K73" i="8"/>
  <c r="K62" i="8"/>
  <c r="K54" i="8"/>
  <c r="N54" i="8" s="1"/>
  <c r="P54" i="8" s="1"/>
  <c r="K46" i="8"/>
  <c r="K45" i="8"/>
  <c r="K38" i="8"/>
  <c r="K16" i="8"/>
  <c r="K17" i="8"/>
  <c r="K18" i="8"/>
  <c r="K19" i="8"/>
  <c r="N19" i="8" s="1"/>
  <c r="P19" i="8" s="1"/>
  <c r="K20" i="8"/>
  <c r="K21" i="8"/>
  <c r="K22" i="8"/>
  <c r="K24" i="8"/>
  <c r="K25" i="8"/>
  <c r="K26" i="8"/>
  <c r="K27" i="8"/>
  <c r="N27" i="8" s="1"/>
  <c r="P27" i="8" s="1"/>
  <c r="K28" i="8"/>
  <c r="K29" i="8"/>
  <c r="K30" i="8"/>
  <c r="K32" i="8"/>
  <c r="K33" i="8"/>
  <c r="K34" i="8"/>
  <c r="K35" i="8"/>
  <c r="K36" i="8"/>
  <c r="K15" i="8"/>
  <c r="K84" i="7"/>
  <c r="K82" i="7"/>
  <c r="K80" i="7"/>
  <c r="N80" i="7" s="1"/>
  <c r="P80" i="7" s="1"/>
  <c r="K75" i="7"/>
  <c r="K64" i="7"/>
  <c r="N64" i="7" s="1"/>
  <c r="P64" i="7" s="1"/>
  <c r="K57" i="7"/>
  <c r="K56" i="7"/>
  <c r="K48" i="7"/>
  <c r="K38" i="7"/>
  <c r="K19" i="7"/>
  <c r="M19" i="7" s="1"/>
  <c r="K20" i="7"/>
  <c r="K21" i="7"/>
  <c r="M21" i="7" s="1"/>
  <c r="K22" i="7"/>
  <c r="K24" i="7"/>
  <c r="K25" i="7"/>
  <c r="K26" i="7"/>
  <c r="M26" i="7" s="1"/>
  <c r="K27" i="7"/>
  <c r="N27" i="7" s="1"/>
  <c r="P27" i="7" s="1"/>
  <c r="K28" i="7"/>
  <c r="K29" i="7"/>
  <c r="M29" i="7" s="1"/>
  <c r="K30" i="7"/>
  <c r="K32" i="7"/>
  <c r="K33" i="7"/>
  <c r="K34" i="7"/>
  <c r="M34" i="7" s="1"/>
  <c r="K35" i="7"/>
  <c r="N35" i="7" s="1"/>
  <c r="P35" i="7" s="1"/>
  <c r="K36" i="7"/>
  <c r="K18" i="7"/>
  <c r="N18" i="7" s="1"/>
  <c r="P18" i="7" s="1"/>
  <c r="K15" i="7"/>
  <c r="K77" i="6"/>
  <c r="K75" i="6"/>
  <c r="K73" i="6"/>
  <c r="K68" i="6"/>
  <c r="K57" i="6"/>
  <c r="K51" i="6"/>
  <c r="K50" i="6"/>
  <c r="K42" i="6"/>
  <c r="K41" i="6"/>
  <c r="K39" i="6"/>
  <c r="K38" i="6"/>
  <c r="K25" i="6"/>
  <c r="K26" i="6"/>
  <c r="K27" i="6"/>
  <c r="K28" i="6"/>
  <c r="K29" i="6"/>
  <c r="K30" i="6"/>
  <c r="K31" i="6"/>
  <c r="K32" i="6"/>
  <c r="N32" i="6" s="1"/>
  <c r="P32" i="6" s="1"/>
  <c r="K33" i="6"/>
  <c r="K34" i="6"/>
  <c r="K35" i="6"/>
  <c r="K36" i="6"/>
  <c r="Q16" i="6"/>
  <c r="Q17" i="6"/>
  <c r="Q18" i="6"/>
  <c r="Q19" i="6"/>
  <c r="Q20" i="6"/>
  <c r="Q21" i="6"/>
  <c r="K21" i="6" s="1"/>
  <c r="Q22" i="6"/>
  <c r="Q23" i="6"/>
  <c r="K23" i="6" s="1"/>
  <c r="Q24" i="6"/>
  <c r="K24" i="6" s="1"/>
  <c r="Q25" i="6"/>
  <c r="Q26" i="6"/>
  <c r="Q27" i="6"/>
  <c r="Q28" i="6"/>
  <c r="Q29" i="6"/>
  <c r="Q30" i="6"/>
  <c r="Q31" i="6"/>
  <c r="Q32" i="6"/>
  <c r="Q33" i="6"/>
  <c r="Q34" i="6"/>
  <c r="Q35" i="6"/>
  <c r="Q36" i="6"/>
  <c r="Q38" i="6"/>
  <c r="Q39" i="6"/>
  <c r="Q41" i="6"/>
  <c r="Q42" i="6"/>
  <c r="Q44" i="6"/>
  <c r="Q45" i="6"/>
  <c r="Q46" i="6"/>
  <c r="Q47" i="6"/>
  <c r="Q48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70" i="6"/>
  <c r="Q71" i="6"/>
  <c r="Q73" i="6"/>
  <c r="Q74" i="6"/>
  <c r="Q75" i="6"/>
  <c r="Q77" i="6"/>
  <c r="M26" i="6"/>
  <c r="K22" i="6"/>
  <c r="K20" i="6"/>
  <c r="M20" i="6" s="1"/>
  <c r="K19" i="6"/>
  <c r="K18" i="6"/>
  <c r="M18" i="6" s="1"/>
  <c r="K15" i="6"/>
  <c r="Q15" i="6"/>
  <c r="K80" i="5"/>
  <c r="K78" i="5"/>
  <c r="K76" i="5"/>
  <c r="K71" i="5"/>
  <c r="K60" i="5"/>
  <c r="K53" i="5"/>
  <c r="K52" i="5"/>
  <c r="K44" i="5"/>
  <c r="K43" i="5"/>
  <c r="K39" i="5"/>
  <c r="K3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18" i="5"/>
  <c r="K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8" i="5"/>
  <c r="Q39" i="5"/>
  <c r="Q41" i="5"/>
  <c r="Q42" i="5"/>
  <c r="Q43" i="5"/>
  <c r="Q44" i="5"/>
  <c r="Q46" i="5"/>
  <c r="Q47" i="5"/>
  <c r="Q48" i="5"/>
  <c r="Q49" i="5"/>
  <c r="Q50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3" i="5"/>
  <c r="Q74" i="5"/>
  <c r="Q76" i="5"/>
  <c r="Q77" i="5"/>
  <c r="Q78" i="5"/>
  <c r="Q80" i="5"/>
  <c r="Q15" i="5"/>
  <c r="K27" i="4"/>
  <c r="Q16" i="4"/>
  <c r="Q17" i="4"/>
  <c r="Q18" i="4"/>
  <c r="K18" i="4" s="1"/>
  <c r="Q19" i="4"/>
  <c r="K19" i="4" s="1"/>
  <c r="Q20" i="4"/>
  <c r="K20" i="4" s="1"/>
  <c r="Q21" i="4"/>
  <c r="K21" i="4" s="1"/>
  <c r="Q22" i="4"/>
  <c r="K22" i="4" s="1"/>
  <c r="Q23" i="4"/>
  <c r="K23" i="4" s="1"/>
  <c r="Q24" i="4"/>
  <c r="K24" i="4" s="1"/>
  <c r="Q25" i="4"/>
  <c r="K25" i="4" s="1"/>
  <c r="Q26" i="4"/>
  <c r="K26" i="4" s="1"/>
  <c r="Q27" i="4"/>
  <c r="Q28" i="4"/>
  <c r="K28" i="4" s="1"/>
  <c r="Q29" i="4"/>
  <c r="K29" i="4" s="1"/>
  <c r="Q30" i="4"/>
  <c r="K30" i="4" s="1"/>
  <c r="Q31" i="4"/>
  <c r="K31" i="4" s="1"/>
  <c r="Q32" i="4"/>
  <c r="K32" i="4" s="1"/>
  <c r="Q33" i="4"/>
  <c r="K33" i="4" s="1"/>
  <c r="Q34" i="4"/>
  <c r="K34" i="4" s="1"/>
  <c r="Q35" i="4"/>
  <c r="K35" i="4" s="1"/>
  <c r="Q36" i="4"/>
  <c r="K36" i="4" s="1"/>
  <c r="Q38" i="4"/>
  <c r="K38" i="4" s="1"/>
  <c r="Q39" i="4"/>
  <c r="K39" i="4" s="1"/>
  <c r="Q41" i="4"/>
  <c r="Q42" i="4"/>
  <c r="Q43" i="4"/>
  <c r="Q44" i="4"/>
  <c r="Q45" i="4"/>
  <c r="Q46" i="4"/>
  <c r="Q47" i="4"/>
  <c r="K47" i="4" s="1"/>
  <c r="Q48" i="4"/>
  <c r="K48" i="4" s="1"/>
  <c r="Q50" i="4"/>
  <c r="Q51" i="4"/>
  <c r="Q52" i="4"/>
  <c r="Q53" i="4"/>
  <c r="Q54" i="4"/>
  <c r="Q56" i="4"/>
  <c r="K56" i="4" s="1"/>
  <c r="Q57" i="4"/>
  <c r="K57" i="4" s="1"/>
  <c r="Q58" i="4"/>
  <c r="Q59" i="4"/>
  <c r="Q60" i="4"/>
  <c r="Q61" i="4"/>
  <c r="Q62" i="4"/>
  <c r="Q63" i="4"/>
  <c r="Q64" i="4"/>
  <c r="K64" i="4" s="1"/>
  <c r="Q65" i="4"/>
  <c r="Q66" i="4"/>
  <c r="Q67" i="4"/>
  <c r="Q68" i="4"/>
  <c r="Q69" i="4"/>
  <c r="Q70" i="4"/>
  <c r="Q71" i="4"/>
  <c r="Q72" i="4"/>
  <c r="Q73" i="4"/>
  <c r="Q74" i="4"/>
  <c r="Q75" i="4"/>
  <c r="Q76" i="4"/>
  <c r="K76" i="4" s="1"/>
  <c r="Q78" i="4"/>
  <c r="Q79" i="4"/>
  <c r="Q82" i="4"/>
  <c r="Q83" i="4"/>
  <c r="K83" i="4" s="1"/>
  <c r="Q85" i="4"/>
  <c r="K85" i="4" s="1"/>
  <c r="Q15" i="4"/>
  <c r="K15" i="4" s="1"/>
  <c r="K74" i="3"/>
  <c r="K72" i="3"/>
  <c r="K71" i="3"/>
  <c r="K69" i="3"/>
  <c r="K58" i="3"/>
  <c r="K53" i="3"/>
  <c r="K52" i="3"/>
  <c r="K44" i="3"/>
  <c r="K43" i="3"/>
  <c r="K41" i="3"/>
  <c r="K40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15" i="3"/>
  <c r="Q43" i="3"/>
  <c r="Q44" i="3"/>
  <c r="Q46" i="3"/>
  <c r="Q47" i="3"/>
  <c r="Q48" i="3"/>
  <c r="Q49" i="3"/>
  <c r="Q50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1" i="3"/>
  <c r="Q72" i="3"/>
  <c r="Q74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40" i="3"/>
  <c r="Q41" i="3"/>
  <c r="Q15" i="3"/>
  <c r="K124" i="2"/>
  <c r="K122" i="2"/>
  <c r="K120" i="2"/>
  <c r="K119" i="2"/>
  <c r="AW124" i="2"/>
  <c r="AW120" i="2"/>
  <c r="AW122" i="2"/>
  <c r="AW119" i="2"/>
  <c r="AW112" i="2"/>
  <c r="K68" i="2"/>
  <c r="K67" i="2"/>
  <c r="K58" i="2"/>
  <c r="K57" i="2"/>
  <c r="K55" i="2"/>
  <c r="AW68" i="2"/>
  <c r="AW67" i="2"/>
  <c r="AW55" i="2"/>
  <c r="AW57" i="2"/>
  <c r="AW58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AW19" i="2"/>
  <c r="AW20" i="2"/>
  <c r="AW21" i="2"/>
  <c r="AW22" i="2"/>
  <c r="AW23" i="2"/>
  <c r="AW24" i="2"/>
  <c r="AW25" i="2"/>
  <c r="AW26" i="2"/>
  <c r="AW27" i="2"/>
  <c r="AW28" i="2"/>
  <c r="AW29" i="2"/>
  <c r="AW30" i="2"/>
  <c r="AW31" i="2"/>
  <c r="AW32" i="2"/>
  <c r="AW33" i="2"/>
  <c r="AW34" i="2"/>
  <c r="AW35" i="2"/>
  <c r="AW36" i="2"/>
  <c r="AW37" i="2"/>
  <c r="AW38" i="2"/>
  <c r="AW39" i="2"/>
  <c r="AW40" i="2"/>
  <c r="AW41" i="2"/>
  <c r="AW42" i="2"/>
  <c r="AW43" i="2"/>
  <c r="AW44" i="2"/>
  <c r="AW45" i="2"/>
  <c r="AW46" i="2"/>
  <c r="AW47" i="2"/>
  <c r="AW48" i="2"/>
  <c r="AW49" i="2"/>
  <c r="AW50" i="2"/>
  <c r="AW51" i="2"/>
  <c r="AW52" i="2"/>
  <c r="AW53" i="2"/>
  <c r="AW18" i="2"/>
  <c r="K74" i="9"/>
  <c r="K73" i="9"/>
  <c r="K55" i="9"/>
  <c r="M29" i="9"/>
  <c r="M30" i="9"/>
  <c r="M37" i="9"/>
  <c r="M38" i="9"/>
  <c r="M45" i="9"/>
  <c r="N26" i="8"/>
  <c r="P26" i="8" s="1"/>
  <c r="N34" i="8"/>
  <c r="P34" i="8" s="1"/>
  <c r="K47" i="7"/>
  <c r="M34" i="6"/>
  <c r="L73" i="5"/>
  <c r="L74" i="5"/>
  <c r="O16" i="35"/>
  <c r="O17" i="35"/>
  <c r="O18" i="35"/>
  <c r="O19" i="35"/>
  <c r="O20" i="35"/>
  <c r="O21" i="35"/>
  <c r="O22" i="35"/>
  <c r="O23" i="35"/>
  <c r="O24" i="35"/>
  <c r="O25" i="35"/>
  <c r="O26" i="35"/>
  <c r="O27" i="35"/>
  <c r="O28" i="35"/>
  <c r="O29" i="35"/>
  <c r="O30" i="35"/>
  <c r="O31" i="35"/>
  <c r="O32" i="35"/>
  <c r="O33" i="35"/>
  <c r="O34" i="35"/>
  <c r="O35" i="35"/>
  <c r="O36" i="35"/>
  <c r="O37" i="35"/>
  <c r="O38" i="35"/>
  <c r="O40" i="35"/>
  <c r="O42" i="35"/>
  <c r="O43" i="35"/>
  <c r="O44" i="35"/>
  <c r="O45" i="35"/>
  <c r="O46" i="35"/>
  <c r="O47" i="35"/>
  <c r="O49" i="35"/>
  <c r="O50" i="35"/>
  <c r="O51" i="35"/>
  <c r="O52" i="35"/>
  <c r="O53" i="35"/>
  <c r="O54" i="35"/>
  <c r="O55" i="35"/>
  <c r="O56" i="35"/>
  <c r="O57" i="35"/>
  <c r="O58" i="35"/>
  <c r="O59" i="35"/>
  <c r="O60" i="35"/>
  <c r="O62" i="35"/>
  <c r="O63" i="35"/>
  <c r="O64" i="35"/>
  <c r="O65" i="35"/>
  <c r="O67" i="35"/>
  <c r="O68" i="35"/>
  <c r="O69" i="35"/>
  <c r="O71" i="35"/>
  <c r="O74" i="35"/>
  <c r="O75" i="35"/>
  <c r="O15" i="35"/>
  <c r="N16" i="35"/>
  <c r="P16" i="35" s="1"/>
  <c r="N17" i="35"/>
  <c r="P17" i="35" s="1"/>
  <c r="N18" i="35"/>
  <c r="P18" i="35" s="1"/>
  <c r="N42" i="35"/>
  <c r="P42" i="35" s="1"/>
  <c r="N43" i="35"/>
  <c r="P43" i="35" s="1"/>
  <c r="N44" i="35"/>
  <c r="P44" i="35" s="1"/>
  <c r="N45" i="35"/>
  <c r="P45" i="35" s="1"/>
  <c r="N46" i="35"/>
  <c r="P46" i="35" s="1"/>
  <c r="N47" i="35"/>
  <c r="P47" i="35" s="1"/>
  <c r="N49" i="35"/>
  <c r="P49" i="35" s="1"/>
  <c r="N50" i="35"/>
  <c r="P50" i="35" s="1"/>
  <c r="N51" i="35"/>
  <c r="P51" i="35" s="1"/>
  <c r="N52" i="35"/>
  <c r="P52" i="35" s="1"/>
  <c r="N53" i="35"/>
  <c r="P53" i="35" s="1"/>
  <c r="N54" i="35"/>
  <c r="P54" i="35" s="1"/>
  <c r="N55" i="35"/>
  <c r="P55" i="35" s="1"/>
  <c r="N56" i="35"/>
  <c r="P56" i="35" s="1"/>
  <c r="N57" i="35"/>
  <c r="P57" i="35" s="1"/>
  <c r="N58" i="35"/>
  <c r="P58" i="35" s="1"/>
  <c r="N59" i="35"/>
  <c r="P59" i="35" s="1"/>
  <c r="N60" i="35"/>
  <c r="P60" i="35" s="1"/>
  <c r="N62" i="35"/>
  <c r="P62" i="35" s="1"/>
  <c r="N63" i="35"/>
  <c r="P63" i="35" s="1"/>
  <c r="N64" i="35"/>
  <c r="P64" i="35" s="1"/>
  <c r="N65" i="35"/>
  <c r="P65" i="35" s="1"/>
  <c r="N68" i="35"/>
  <c r="P68" i="35" s="1"/>
  <c r="N75" i="35"/>
  <c r="P75" i="35" s="1"/>
  <c r="M49" i="35"/>
  <c r="L16" i="35"/>
  <c r="M16" i="35" s="1"/>
  <c r="L17" i="35"/>
  <c r="M17" i="35" s="1"/>
  <c r="L18" i="35"/>
  <c r="M18" i="35" s="1"/>
  <c r="L19" i="35"/>
  <c r="L20" i="35"/>
  <c r="L21" i="35"/>
  <c r="L22" i="35"/>
  <c r="L23" i="35"/>
  <c r="L24" i="35"/>
  <c r="L25" i="35"/>
  <c r="L26" i="35"/>
  <c r="L27" i="35"/>
  <c r="L28" i="35"/>
  <c r="L29" i="35"/>
  <c r="L30" i="35"/>
  <c r="L31" i="35"/>
  <c r="L32" i="35"/>
  <c r="L33" i="35"/>
  <c r="L34" i="35"/>
  <c r="L35" i="35"/>
  <c r="L36" i="35"/>
  <c r="L37" i="35"/>
  <c r="L38" i="35"/>
  <c r="L40" i="35"/>
  <c r="L42" i="35"/>
  <c r="M42" i="35" s="1"/>
  <c r="L43" i="35"/>
  <c r="M43" i="35" s="1"/>
  <c r="L44" i="35"/>
  <c r="M44" i="35" s="1"/>
  <c r="L45" i="35"/>
  <c r="M45" i="35" s="1"/>
  <c r="L46" i="35"/>
  <c r="M46" i="35" s="1"/>
  <c r="L47" i="35"/>
  <c r="M47" i="35" s="1"/>
  <c r="L49" i="35"/>
  <c r="L50" i="35"/>
  <c r="M50" i="35" s="1"/>
  <c r="L51" i="35"/>
  <c r="M51" i="35" s="1"/>
  <c r="L52" i="35"/>
  <c r="M52" i="35" s="1"/>
  <c r="L53" i="35"/>
  <c r="M53" i="35" s="1"/>
  <c r="L54" i="35"/>
  <c r="M54" i="35" s="1"/>
  <c r="L55" i="35"/>
  <c r="M55" i="35" s="1"/>
  <c r="L56" i="35"/>
  <c r="M56" i="35" s="1"/>
  <c r="L57" i="35"/>
  <c r="M57" i="35" s="1"/>
  <c r="L58" i="35"/>
  <c r="M58" i="35" s="1"/>
  <c r="L59" i="35"/>
  <c r="M59" i="35" s="1"/>
  <c r="L60" i="35"/>
  <c r="M60" i="35" s="1"/>
  <c r="L62" i="35"/>
  <c r="M62" i="35" s="1"/>
  <c r="L63" i="35"/>
  <c r="M63" i="35" s="1"/>
  <c r="L64" i="35"/>
  <c r="M64" i="35" s="1"/>
  <c r="L65" i="35"/>
  <c r="M65" i="35" s="1"/>
  <c r="L67" i="35"/>
  <c r="L68" i="35"/>
  <c r="M68" i="35" s="1"/>
  <c r="L69" i="35"/>
  <c r="L71" i="35"/>
  <c r="L74" i="35"/>
  <c r="L75" i="35"/>
  <c r="M75" i="35" s="1"/>
  <c r="L15" i="35"/>
  <c r="P53" i="34"/>
  <c r="M53" i="34"/>
  <c r="P50" i="34"/>
  <c r="M50" i="34"/>
  <c r="P46" i="34"/>
  <c r="M46" i="34"/>
  <c r="P44" i="34"/>
  <c r="M44" i="34"/>
  <c r="P40" i="34"/>
  <c r="M40" i="34"/>
  <c r="P36" i="34"/>
  <c r="M36" i="34"/>
  <c r="P31" i="34"/>
  <c r="M31" i="34"/>
  <c r="P14" i="34"/>
  <c r="M14" i="34"/>
  <c r="P16" i="34"/>
  <c r="P17" i="34"/>
  <c r="P18" i="34"/>
  <c r="P19" i="34"/>
  <c r="P20" i="34"/>
  <c r="P21" i="34"/>
  <c r="P22" i="34"/>
  <c r="P23" i="34"/>
  <c r="P24" i="34"/>
  <c r="P25" i="34"/>
  <c r="P26" i="34"/>
  <c r="P27" i="34"/>
  <c r="P28" i="34"/>
  <c r="P29" i="34"/>
  <c r="P30" i="34"/>
  <c r="P32" i="34"/>
  <c r="P33" i="34"/>
  <c r="P34" i="34"/>
  <c r="P35" i="34"/>
  <c r="P37" i="34"/>
  <c r="P38" i="34"/>
  <c r="P39" i="34"/>
  <c r="P41" i="34"/>
  <c r="P42" i="34"/>
  <c r="P43" i="34"/>
  <c r="P45" i="34"/>
  <c r="P47" i="34"/>
  <c r="P48" i="34"/>
  <c r="P49" i="34"/>
  <c r="P51" i="34"/>
  <c r="P15" i="34"/>
  <c r="O16" i="34"/>
  <c r="O17" i="34"/>
  <c r="O18" i="34"/>
  <c r="O19" i="34"/>
  <c r="O20" i="34"/>
  <c r="O21" i="34"/>
  <c r="O22" i="34"/>
  <c r="O23" i="34"/>
  <c r="O24" i="34"/>
  <c r="O25" i="34"/>
  <c r="O26" i="34"/>
  <c r="O27" i="34"/>
  <c r="O28" i="34"/>
  <c r="O29" i="34"/>
  <c r="O30" i="34"/>
  <c r="O32" i="34"/>
  <c r="O33" i="34"/>
  <c r="O34" i="34"/>
  <c r="O35" i="34"/>
  <c r="O37" i="34"/>
  <c r="O38" i="34"/>
  <c r="O39" i="34"/>
  <c r="O41" i="34"/>
  <c r="O42" i="34"/>
  <c r="O43" i="34"/>
  <c r="O45" i="34"/>
  <c r="O47" i="34"/>
  <c r="O48" i="34"/>
  <c r="O49" i="34"/>
  <c r="O51" i="34"/>
  <c r="O15" i="34"/>
  <c r="N16" i="34"/>
  <c r="N17" i="34"/>
  <c r="N18" i="34"/>
  <c r="N19" i="34"/>
  <c r="N20" i="34"/>
  <c r="N21" i="34"/>
  <c r="N22" i="34"/>
  <c r="N23" i="34"/>
  <c r="N24" i="34"/>
  <c r="N25" i="34"/>
  <c r="N26" i="34"/>
  <c r="N27" i="34"/>
  <c r="N28" i="34"/>
  <c r="N29" i="34"/>
  <c r="N30" i="34"/>
  <c r="N32" i="34"/>
  <c r="N33" i="34"/>
  <c r="N34" i="34"/>
  <c r="N35" i="34"/>
  <c r="N37" i="34"/>
  <c r="N38" i="34"/>
  <c r="N39" i="34"/>
  <c r="N41" i="34"/>
  <c r="N42" i="34"/>
  <c r="N43" i="34"/>
  <c r="N45" i="34"/>
  <c r="N47" i="34"/>
  <c r="N48" i="34"/>
  <c r="N49" i="34"/>
  <c r="N51" i="34"/>
  <c r="N15" i="34"/>
  <c r="M16" i="34"/>
  <c r="M17" i="34"/>
  <c r="M18" i="34"/>
  <c r="M19" i="34"/>
  <c r="M20" i="34"/>
  <c r="M21" i="34"/>
  <c r="M22" i="34"/>
  <c r="M23" i="34"/>
  <c r="M24" i="34"/>
  <c r="M25" i="34"/>
  <c r="M26" i="34"/>
  <c r="M27" i="34"/>
  <c r="M28" i="34"/>
  <c r="M29" i="34"/>
  <c r="M30" i="34"/>
  <c r="M32" i="34"/>
  <c r="M33" i="34"/>
  <c r="M34" i="34"/>
  <c r="M35" i="34"/>
  <c r="M37" i="34"/>
  <c r="M38" i="34"/>
  <c r="M39" i="34"/>
  <c r="M41" i="34"/>
  <c r="M42" i="34"/>
  <c r="M43" i="34"/>
  <c r="M45" i="34"/>
  <c r="M47" i="34"/>
  <c r="M48" i="34"/>
  <c r="M49" i="34"/>
  <c r="M51" i="34"/>
  <c r="L16" i="34"/>
  <c r="L17" i="34"/>
  <c r="L18" i="34"/>
  <c r="L19" i="34"/>
  <c r="L20" i="34"/>
  <c r="L21" i="34"/>
  <c r="L22" i="34"/>
  <c r="L23" i="34"/>
  <c r="L24" i="34"/>
  <c r="L25" i="34"/>
  <c r="L26" i="34"/>
  <c r="L27" i="34"/>
  <c r="L28" i="34"/>
  <c r="L29" i="34"/>
  <c r="L30" i="34"/>
  <c r="L32" i="34"/>
  <c r="L33" i="34"/>
  <c r="L34" i="34"/>
  <c r="L35" i="34"/>
  <c r="L37" i="34"/>
  <c r="L38" i="34"/>
  <c r="L39" i="34"/>
  <c r="L41" i="34"/>
  <c r="L42" i="34"/>
  <c r="L43" i="34"/>
  <c r="L45" i="34"/>
  <c r="L47" i="34"/>
  <c r="L48" i="34"/>
  <c r="L49" i="34"/>
  <c r="L51" i="34"/>
  <c r="M15" i="34"/>
  <c r="L15" i="34"/>
  <c r="P72" i="33"/>
  <c r="M72" i="33"/>
  <c r="P54" i="33"/>
  <c r="P56" i="33"/>
  <c r="P57" i="33"/>
  <c r="P58" i="33"/>
  <c r="P59" i="33"/>
  <c r="P60" i="33"/>
  <c r="P61" i="33"/>
  <c r="P62" i="33"/>
  <c r="P63" i="33"/>
  <c r="P68" i="33"/>
  <c r="P73" i="33"/>
  <c r="P74" i="33"/>
  <c r="P78" i="33"/>
  <c r="P15" i="33"/>
  <c r="O16" i="33"/>
  <c r="O17" i="33"/>
  <c r="O18" i="33"/>
  <c r="O19" i="33"/>
  <c r="O20" i="33"/>
  <c r="O21" i="33"/>
  <c r="O22" i="33"/>
  <c r="O23" i="33"/>
  <c r="O24" i="33"/>
  <c r="O25" i="33"/>
  <c r="O26" i="33"/>
  <c r="O27" i="33"/>
  <c r="O28" i="33"/>
  <c r="O29" i="33"/>
  <c r="O30" i="33"/>
  <c r="O31" i="33"/>
  <c r="O32" i="33"/>
  <c r="O33" i="33"/>
  <c r="O34" i="33"/>
  <c r="O35" i="33"/>
  <c r="O36" i="33"/>
  <c r="O37" i="33"/>
  <c r="O38" i="33"/>
  <c r="O39" i="33"/>
  <c r="O40" i="33"/>
  <c r="O41" i="33"/>
  <c r="O42" i="33"/>
  <c r="O43" i="33"/>
  <c r="O44" i="33"/>
  <c r="O45" i="33"/>
  <c r="O47" i="33"/>
  <c r="O48" i="33"/>
  <c r="O50" i="33"/>
  <c r="O51" i="33"/>
  <c r="O53" i="33"/>
  <c r="O54" i="33"/>
  <c r="O55" i="33"/>
  <c r="O56" i="33"/>
  <c r="O57" i="33"/>
  <c r="O58" i="33"/>
  <c r="O59" i="33"/>
  <c r="O60" i="33"/>
  <c r="O61" i="33"/>
  <c r="O62" i="33"/>
  <c r="O63" i="33"/>
  <c r="O65" i="33"/>
  <c r="O66" i="33"/>
  <c r="O67" i="33"/>
  <c r="O68" i="33"/>
  <c r="O69" i="33"/>
  <c r="O70" i="33"/>
  <c r="O71" i="33"/>
  <c r="O73" i="33"/>
  <c r="O74" i="33"/>
  <c r="O76" i="33"/>
  <c r="O77" i="33"/>
  <c r="O78" i="33"/>
  <c r="O79" i="33"/>
  <c r="O81" i="33"/>
  <c r="O15" i="33"/>
  <c r="N16" i="33"/>
  <c r="P16" i="33" s="1"/>
  <c r="N17" i="33"/>
  <c r="P17" i="33" s="1"/>
  <c r="N18" i="33"/>
  <c r="P18" i="33" s="1"/>
  <c r="N19" i="33"/>
  <c r="P19" i="33" s="1"/>
  <c r="N20" i="33"/>
  <c r="P20" i="33" s="1"/>
  <c r="N21" i="33"/>
  <c r="P21" i="33" s="1"/>
  <c r="N22" i="33"/>
  <c r="P22" i="33" s="1"/>
  <c r="N23" i="33"/>
  <c r="P23" i="33" s="1"/>
  <c r="N25" i="33"/>
  <c r="P25" i="33" s="1"/>
  <c r="N26" i="33"/>
  <c r="P26" i="33" s="1"/>
  <c r="N27" i="33"/>
  <c r="P27" i="33" s="1"/>
  <c r="N28" i="33"/>
  <c r="P28" i="33" s="1"/>
  <c r="N29" i="33"/>
  <c r="P29" i="33" s="1"/>
  <c r="N30" i="33"/>
  <c r="P30" i="33" s="1"/>
  <c r="N31" i="33"/>
  <c r="P31" i="33" s="1"/>
  <c r="N33" i="33"/>
  <c r="P33" i="33" s="1"/>
  <c r="N34" i="33"/>
  <c r="P34" i="33" s="1"/>
  <c r="N35" i="33"/>
  <c r="P35" i="33" s="1"/>
  <c r="N36" i="33"/>
  <c r="P36" i="33" s="1"/>
  <c r="N37" i="33"/>
  <c r="P37" i="33" s="1"/>
  <c r="N38" i="33"/>
  <c r="P38" i="33" s="1"/>
  <c r="N39" i="33"/>
  <c r="P39" i="33" s="1"/>
  <c r="N41" i="33"/>
  <c r="P41" i="33" s="1"/>
  <c r="N42" i="33"/>
  <c r="P42" i="33" s="1"/>
  <c r="N43" i="33"/>
  <c r="P43" i="33" s="1"/>
  <c r="N44" i="33"/>
  <c r="P44" i="33" s="1"/>
  <c r="N45" i="33"/>
  <c r="P45" i="33" s="1"/>
  <c r="N47" i="33"/>
  <c r="P47" i="33" s="1"/>
  <c r="N48" i="33"/>
  <c r="P48" i="33" s="1"/>
  <c r="N50" i="33"/>
  <c r="P50" i="33" s="1"/>
  <c r="N51" i="33"/>
  <c r="P51" i="33" s="1"/>
  <c r="N53" i="33"/>
  <c r="P53" i="33" s="1"/>
  <c r="N54" i="33"/>
  <c r="N55" i="33"/>
  <c r="P55" i="33" s="1"/>
  <c r="N56" i="33"/>
  <c r="N57" i="33"/>
  <c r="N58" i="33"/>
  <c r="N59" i="33"/>
  <c r="N60" i="33"/>
  <c r="N61" i="33"/>
  <c r="N62" i="33"/>
  <c r="N63" i="33"/>
  <c r="N65" i="33"/>
  <c r="P65" i="33" s="1"/>
  <c r="N66" i="33"/>
  <c r="P66" i="33" s="1"/>
  <c r="N67" i="33"/>
  <c r="P67" i="33" s="1"/>
  <c r="N68" i="33"/>
  <c r="N69" i="33"/>
  <c r="P69" i="33" s="1"/>
  <c r="N70" i="33"/>
  <c r="P70" i="33" s="1"/>
  <c r="N71" i="33"/>
  <c r="P71" i="33" s="1"/>
  <c r="N73" i="33"/>
  <c r="N74" i="33"/>
  <c r="N76" i="33"/>
  <c r="P76" i="33" s="1"/>
  <c r="N77" i="33"/>
  <c r="P77" i="33" s="1"/>
  <c r="N78" i="33"/>
  <c r="N79" i="33"/>
  <c r="P79" i="33" s="1"/>
  <c r="N81" i="33"/>
  <c r="P81" i="33" s="1"/>
  <c r="P80" i="33" s="1"/>
  <c r="N15" i="33"/>
  <c r="M16" i="33"/>
  <c r="M17" i="33"/>
  <c r="M18" i="33"/>
  <c r="M19" i="33"/>
  <c r="M20" i="33"/>
  <c r="M21" i="33"/>
  <c r="M22" i="33"/>
  <c r="M23" i="33"/>
  <c r="M25" i="33"/>
  <c r="M26" i="33"/>
  <c r="M27" i="33"/>
  <c r="M28" i="33"/>
  <c r="M29" i="33"/>
  <c r="M30" i="33"/>
  <c r="M31" i="33"/>
  <c r="M33" i="33"/>
  <c r="M34" i="33"/>
  <c r="M35" i="33"/>
  <c r="M36" i="33"/>
  <c r="M37" i="33"/>
  <c r="M38" i="33"/>
  <c r="M39" i="33"/>
  <c r="M41" i="33"/>
  <c r="M42" i="33"/>
  <c r="M43" i="33"/>
  <c r="M44" i="33"/>
  <c r="M45" i="33"/>
  <c r="M47" i="33"/>
  <c r="M46" i="33" s="1"/>
  <c r="M48" i="33"/>
  <c r="M50" i="33"/>
  <c r="M49" i="33" s="1"/>
  <c r="M51" i="33"/>
  <c r="M53" i="33"/>
  <c r="M54" i="33"/>
  <c r="M55" i="33"/>
  <c r="M56" i="33"/>
  <c r="M57" i="33"/>
  <c r="M58" i="33"/>
  <c r="M59" i="33"/>
  <c r="M60" i="33"/>
  <c r="M61" i="33"/>
  <c r="M62" i="33"/>
  <c r="M63" i="33"/>
  <c r="M65" i="33"/>
  <c r="M66" i="33"/>
  <c r="M67" i="33"/>
  <c r="M68" i="33"/>
  <c r="M69" i="33"/>
  <c r="M70" i="33"/>
  <c r="M71" i="33"/>
  <c r="M73" i="33"/>
  <c r="M74" i="33"/>
  <c r="M76" i="33"/>
  <c r="M77" i="33"/>
  <c r="M78" i="33"/>
  <c r="M79" i="33"/>
  <c r="M81" i="33"/>
  <c r="M80" i="33" s="1"/>
  <c r="L16" i="33"/>
  <c r="L17" i="33"/>
  <c r="L18" i="33"/>
  <c r="L19" i="33"/>
  <c r="L20" i="33"/>
  <c r="L21" i="33"/>
  <c r="L22" i="33"/>
  <c r="L23" i="33"/>
  <c r="L24" i="33"/>
  <c r="L25" i="33"/>
  <c r="L26" i="33"/>
  <c r="L27" i="33"/>
  <c r="L28" i="33"/>
  <c r="L29" i="33"/>
  <c r="L30" i="33"/>
  <c r="L31" i="33"/>
  <c r="L32" i="33"/>
  <c r="L33" i="33"/>
  <c r="L34" i="33"/>
  <c r="L35" i="33"/>
  <c r="L36" i="33"/>
  <c r="L37" i="33"/>
  <c r="L38" i="33"/>
  <c r="L39" i="33"/>
  <c r="L40" i="33"/>
  <c r="L41" i="33"/>
  <c r="L42" i="33"/>
  <c r="L43" i="33"/>
  <c r="L44" i="33"/>
  <c r="L45" i="33"/>
  <c r="L47" i="33"/>
  <c r="L48" i="33"/>
  <c r="L50" i="33"/>
  <c r="L51" i="33"/>
  <c r="L53" i="33"/>
  <c r="L54" i="33"/>
  <c r="L55" i="33"/>
  <c r="L56" i="33"/>
  <c r="L57" i="33"/>
  <c r="L58" i="33"/>
  <c r="L59" i="33"/>
  <c r="L60" i="33"/>
  <c r="L61" i="33"/>
  <c r="L62" i="33"/>
  <c r="L63" i="33"/>
  <c r="L65" i="33"/>
  <c r="L66" i="33"/>
  <c r="L67" i="33"/>
  <c r="L68" i="33"/>
  <c r="L69" i="33"/>
  <c r="L70" i="33"/>
  <c r="L71" i="33"/>
  <c r="L73" i="33"/>
  <c r="L74" i="33"/>
  <c r="L76" i="33"/>
  <c r="L77" i="33"/>
  <c r="L78" i="33"/>
  <c r="L79" i="33"/>
  <c r="L81" i="33"/>
  <c r="M15" i="33"/>
  <c r="L15" i="33"/>
  <c r="O16" i="32"/>
  <c r="O17" i="32"/>
  <c r="O18" i="32"/>
  <c r="O19" i="32"/>
  <c r="O20" i="32"/>
  <c r="O21" i="32"/>
  <c r="O22" i="32"/>
  <c r="O23" i="32"/>
  <c r="O24" i="32"/>
  <c r="O25" i="32"/>
  <c r="O26" i="32"/>
  <c r="O27" i="32"/>
  <c r="O28" i="32"/>
  <c r="O29" i="32"/>
  <c r="O30" i="32"/>
  <c r="O31" i="32"/>
  <c r="O32" i="32"/>
  <c r="O33" i="32"/>
  <c r="O35" i="32"/>
  <c r="O36" i="32"/>
  <c r="O38" i="32"/>
  <c r="O39" i="32"/>
  <c r="O41" i="32"/>
  <c r="O42" i="32"/>
  <c r="O44" i="32"/>
  <c r="O45" i="32"/>
  <c r="O46" i="32"/>
  <c r="O47" i="32"/>
  <c r="O48" i="32"/>
  <c r="O49" i="32"/>
  <c r="O50" i="32"/>
  <c r="O51" i="32"/>
  <c r="O52" i="32"/>
  <c r="O53" i="32"/>
  <c r="O54" i="32"/>
  <c r="O55" i="32"/>
  <c r="O56" i="32"/>
  <c r="O57" i="32"/>
  <c r="O58" i="32"/>
  <c r="O59" i="32"/>
  <c r="O60" i="32"/>
  <c r="O61" i="32"/>
  <c r="O62" i="32"/>
  <c r="O63" i="32"/>
  <c r="O65" i="32"/>
  <c r="O66" i="32"/>
  <c r="O68" i="32"/>
  <c r="O15" i="32"/>
  <c r="N16" i="32"/>
  <c r="P16" i="32" s="1"/>
  <c r="N19" i="32"/>
  <c r="N24" i="32"/>
  <c r="P24" i="32" s="1"/>
  <c r="N27" i="32"/>
  <c r="P27" i="32" s="1"/>
  <c r="N32" i="32"/>
  <c r="P32" i="32" s="1"/>
  <c r="N35" i="32"/>
  <c r="P35" i="32" s="1"/>
  <c r="N42" i="32"/>
  <c r="P42" i="32" s="1"/>
  <c r="N46" i="32"/>
  <c r="P46" i="32" s="1"/>
  <c r="N47" i="32"/>
  <c r="N48" i="32"/>
  <c r="P48" i="32" s="1"/>
  <c r="N49" i="32"/>
  <c r="P49" i="32" s="1"/>
  <c r="N50" i="32"/>
  <c r="P50" i="32" s="1"/>
  <c r="N51" i="32"/>
  <c r="P51" i="32" s="1"/>
  <c r="N53" i="32"/>
  <c r="P53" i="32" s="1"/>
  <c r="N54" i="32"/>
  <c r="P54" i="32" s="1"/>
  <c r="N55" i="32"/>
  <c r="N56" i="32"/>
  <c r="P56" i="32" s="1"/>
  <c r="N57" i="32"/>
  <c r="P57" i="32" s="1"/>
  <c r="N58" i="32"/>
  <c r="P58" i="32" s="1"/>
  <c r="N59" i="32"/>
  <c r="P59" i="32" s="1"/>
  <c r="N60" i="32"/>
  <c r="P60" i="32" s="1"/>
  <c r="N61" i="32"/>
  <c r="P61" i="32" s="1"/>
  <c r="N62" i="32"/>
  <c r="P62" i="32" s="1"/>
  <c r="N65" i="32"/>
  <c r="P65" i="32" s="1"/>
  <c r="M55" i="32"/>
  <c r="L16" i="32"/>
  <c r="M16" i="32" s="1"/>
  <c r="L17" i="32"/>
  <c r="L18" i="32"/>
  <c r="L19" i="32"/>
  <c r="M19" i="32" s="1"/>
  <c r="L20" i="32"/>
  <c r="L21" i="32"/>
  <c r="L22" i="32"/>
  <c r="L23" i="32"/>
  <c r="L24" i="32"/>
  <c r="M24" i="32" s="1"/>
  <c r="L25" i="32"/>
  <c r="L26" i="32"/>
  <c r="M26" i="32" s="1"/>
  <c r="L27" i="32"/>
  <c r="M27" i="32" s="1"/>
  <c r="L28" i="32"/>
  <c r="L29" i="32"/>
  <c r="L30" i="32"/>
  <c r="L31" i="32"/>
  <c r="L32" i="32"/>
  <c r="M32" i="32" s="1"/>
  <c r="L33" i="32"/>
  <c r="L35" i="32"/>
  <c r="M35" i="32" s="1"/>
  <c r="L36" i="32"/>
  <c r="L38" i="32"/>
  <c r="L39" i="32"/>
  <c r="L41" i="32"/>
  <c r="L42" i="32"/>
  <c r="M42" i="32" s="1"/>
  <c r="L44" i="32"/>
  <c r="L45" i="32"/>
  <c r="M45" i="32" s="1"/>
  <c r="L46" i="32"/>
  <c r="M46" i="32" s="1"/>
  <c r="L47" i="32"/>
  <c r="M47" i="32" s="1"/>
  <c r="L48" i="32"/>
  <c r="M48" i="32" s="1"/>
  <c r="L49" i="32"/>
  <c r="M49" i="32" s="1"/>
  <c r="L50" i="32"/>
  <c r="M50" i="32" s="1"/>
  <c r="L51" i="32"/>
  <c r="M51" i="32" s="1"/>
  <c r="L52" i="32"/>
  <c r="L53" i="32"/>
  <c r="M53" i="32" s="1"/>
  <c r="L54" i="32"/>
  <c r="M54" i="32" s="1"/>
  <c r="L55" i="32"/>
  <c r="L56" i="32"/>
  <c r="M56" i="32" s="1"/>
  <c r="L57" i="32"/>
  <c r="M57" i="32" s="1"/>
  <c r="L58" i="32"/>
  <c r="M58" i="32" s="1"/>
  <c r="L59" i="32"/>
  <c r="M59" i="32" s="1"/>
  <c r="L60" i="32"/>
  <c r="M60" i="32" s="1"/>
  <c r="L61" i="32"/>
  <c r="M61" i="32" s="1"/>
  <c r="L62" i="32"/>
  <c r="M62" i="32" s="1"/>
  <c r="L63" i="32"/>
  <c r="L65" i="32"/>
  <c r="M65" i="32" s="1"/>
  <c r="L66" i="32"/>
  <c r="L68" i="32"/>
  <c r="L15" i="32"/>
  <c r="P44" i="31"/>
  <c r="M44" i="31"/>
  <c r="P72" i="31"/>
  <c r="M72" i="31"/>
  <c r="M79" i="31"/>
  <c r="P24" i="31"/>
  <c r="P32" i="31"/>
  <c r="P36" i="31"/>
  <c r="P38" i="31"/>
  <c r="P39" i="31"/>
  <c r="P40" i="31"/>
  <c r="P41" i="31"/>
  <c r="P45" i="31"/>
  <c r="P46" i="31"/>
  <c r="P47" i="31"/>
  <c r="P48" i="31"/>
  <c r="P49" i="31"/>
  <c r="P53" i="31"/>
  <c r="P54" i="31"/>
  <c r="P55" i="31"/>
  <c r="P56" i="31"/>
  <c r="P57" i="31"/>
  <c r="P58" i="31"/>
  <c r="P60" i="31"/>
  <c r="P61" i="31"/>
  <c r="P62" i="31"/>
  <c r="P63" i="31"/>
  <c r="P64" i="31"/>
  <c r="P65" i="31"/>
  <c r="P66" i="31"/>
  <c r="P67" i="31"/>
  <c r="P68" i="31"/>
  <c r="P69" i="31"/>
  <c r="P70" i="31"/>
  <c r="P73" i="31"/>
  <c r="P74" i="31"/>
  <c r="P76" i="31"/>
  <c r="P77" i="31"/>
  <c r="O16" i="31"/>
  <c r="O17" i="31"/>
  <c r="O18" i="31"/>
  <c r="O19" i="31"/>
  <c r="O20" i="31"/>
  <c r="O21" i="31"/>
  <c r="O22" i="31"/>
  <c r="O23" i="31"/>
  <c r="O24" i="31"/>
  <c r="O25" i="31"/>
  <c r="O26" i="31"/>
  <c r="O27" i="31"/>
  <c r="O28" i="31"/>
  <c r="O29" i="31"/>
  <c r="O30" i="31"/>
  <c r="O31" i="31"/>
  <c r="O32" i="31"/>
  <c r="O33" i="31"/>
  <c r="O35" i="31"/>
  <c r="O36" i="31"/>
  <c r="O38" i="31"/>
  <c r="O39" i="31"/>
  <c r="O40" i="31"/>
  <c r="O41" i="31"/>
  <c r="O42" i="31"/>
  <c r="O43" i="31"/>
  <c r="O45" i="31"/>
  <c r="O46" i="31"/>
  <c r="O47" i="31"/>
  <c r="O48" i="31"/>
  <c r="O49" i="31"/>
  <c r="O51" i="31"/>
  <c r="O52" i="31"/>
  <c r="O53" i="31"/>
  <c r="O54" i="31"/>
  <c r="O55" i="31"/>
  <c r="O56" i="31"/>
  <c r="O57" i="31"/>
  <c r="O58" i="31"/>
  <c r="O59" i="31"/>
  <c r="O60" i="31"/>
  <c r="O61" i="31"/>
  <c r="O62" i="31"/>
  <c r="O63" i="31"/>
  <c r="O64" i="31"/>
  <c r="O65" i="31"/>
  <c r="O66" i="31"/>
  <c r="O67" i="31"/>
  <c r="O68" i="31"/>
  <c r="O69" i="31"/>
  <c r="O70" i="31"/>
  <c r="O71" i="31"/>
  <c r="O73" i="31"/>
  <c r="O74" i="31"/>
  <c r="O76" i="31"/>
  <c r="O77" i="31"/>
  <c r="O78" i="31"/>
  <c r="O80" i="31"/>
  <c r="O15" i="31"/>
  <c r="N16" i="31"/>
  <c r="P16" i="31" s="1"/>
  <c r="N17" i="31"/>
  <c r="P17" i="31" s="1"/>
  <c r="N18" i="31"/>
  <c r="P18" i="31" s="1"/>
  <c r="N19" i="31"/>
  <c r="P19" i="31" s="1"/>
  <c r="N20" i="31"/>
  <c r="P20" i="31" s="1"/>
  <c r="N21" i="31"/>
  <c r="P21" i="31" s="1"/>
  <c r="N22" i="31"/>
  <c r="P22" i="31" s="1"/>
  <c r="N24" i="31"/>
  <c r="N25" i="31"/>
  <c r="P25" i="31" s="1"/>
  <c r="N26" i="31"/>
  <c r="P26" i="31" s="1"/>
  <c r="N27" i="31"/>
  <c r="P27" i="31" s="1"/>
  <c r="N28" i="31"/>
  <c r="P28" i="31" s="1"/>
  <c r="N29" i="31"/>
  <c r="P29" i="31" s="1"/>
  <c r="N30" i="31"/>
  <c r="P30" i="31" s="1"/>
  <c r="N32" i="31"/>
  <c r="N33" i="31"/>
  <c r="P33" i="31" s="1"/>
  <c r="N35" i="31"/>
  <c r="P35" i="31" s="1"/>
  <c r="N36" i="31"/>
  <c r="N38" i="31"/>
  <c r="N39" i="31"/>
  <c r="N40" i="31"/>
  <c r="N41" i="31"/>
  <c r="N42" i="31"/>
  <c r="P42" i="31" s="1"/>
  <c r="N43" i="31"/>
  <c r="P43" i="31" s="1"/>
  <c r="N45" i="31"/>
  <c r="N46" i="31"/>
  <c r="N47" i="31"/>
  <c r="N48" i="31"/>
  <c r="N49" i="31"/>
  <c r="N51" i="31"/>
  <c r="P51" i="31" s="1"/>
  <c r="N52" i="31"/>
  <c r="P52" i="31" s="1"/>
  <c r="N53" i="31"/>
  <c r="N54" i="31"/>
  <c r="N55" i="31"/>
  <c r="N56" i="31"/>
  <c r="N57" i="31"/>
  <c r="N58" i="31"/>
  <c r="N59" i="31"/>
  <c r="P59" i="31" s="1"/>
  <c r="N60" i="31"/>
  <c r="N61" i="31"/>
  <c r="N62" i="31"/>
  <c r="N63" i="31"/>
  <c r="N64" i="31"/>
  <c r="N65" i="31"/>
  <c r="N66" i="31"/>
  <c r="N67" i="31"/>
  <c r="N68" i="31"/>
  <c r="N69" i="31"/>
  <c r="N70" i="31"/>
  <c r="N71" i="31"/>
  <c r="P71" i="31" s="1"/>
  <c r="N73" i="31"/>
  <c r="N74" i="31"/>
  <c r="N76" i="31"/>
  <c r="N77" i="31"/>
  <c r="N78" i="31"/>
  <c r="P78" i="31" s="1"/>
  <c r="N80" i="31"/>
  <c r="P80" i="31" s="1"/>
  <c r="P79" i="31" s="1"/>
  <c r="N15" i="31"/>
  <c r="P15" i="31" s="1"/>
  <c r="M16" i="31"/>
  <c r="M17" i="31"/>
  <c r="M18" i="31"/>
  <c r="M19" i="31"/>
  <c r="M20" i="31"/>
  <c r="M21" i="31"/>
  <c r="M22" i="31"/>
  <c r="M24" i="31"/>
  <c r="M25" i="31"/>
  <c r="M26" i="31"/>
  <c r="M27" i="31"/>
  <c r="M28" i="31"/>
  <c r="M29" i="31"/>
  <c r="M30" i="31"/>
  <c r="M32" i="31"/>
  <c r="M33" i="31"/>
  <c r="M35" i="31"/>
  <c r="M34" i="31" s="1"/>
  <c r="M36" i="31"/>
  <c r="M38" i="31"/>
  <c r="M39" i="31"/>
  <c r="M40" i="31"/>
  <c r="M41" i="31"/>
  <c r="M42" i="31"/>
  <c r="M37" i="31" s="1"/>
  <c r="M43" i="31"/>
  <c r="M45" i="31"/>
  <c r="M46" i="31"/>
  <c r="M47" i="31"/>
  <c r="M48" i="31"/>
  <c r="M49" i="31"/>
  <c r="M51" i="31"/>
  <c r="M52" i="31"/>
  <c r="M53" i="31"/>
  <c r="M54" i="31"/>
  <c r="M55" i="31"/>
  <c r="M56" i="31"/>
  <c r="M57" i="31"/>
  <c r="M58" i="31"/>
  <c r="M59" i="31"/>
  <c r="M50" i="31" s="1"/>
  <c r="M60" i="31"/>
  <c r="M61" i="31"/>
  <c r="M62" i="31"/>
  <c r="M63" i="31"/>
  <c r="M64" i="31"/>
  <c r="M65" i="31"/>
  <c r="M66" i="31"/>
  <c r="M67" i="31"/>
  <c r="M68" i="31"/>
  <c r="M69" i="31"/>
  <c r="M70" i="31"/>
  <c r="M71" i="31"/>
  <c r="M73" i="31"/>
  <c r="M74" i="31"/>
  <c r="M76" i="31"/>
  <c r="M77" i="31"/>
  <c r="M78" i="31"/>
  <c r="M80" i="31"/>
  <c r="L16" i="31"/>
  <c r="L17" i="31"/>
  <c r="L18" i="31"/>
  <c r="L19" i="31"/>
  <c r="L20" i="31"/>
  <c r="L21" i="31"/>
  <c r="L22" i="31"/>
  <c r="L23" i="31"/>
  <c r="L24" i="31"/>
  <c r="L25" i="31"/>
  <c r="L26" i="31"/>
  <c r="L27" i="31"/>
  <c r="L28" i="31"/>
  <c r="L29" i="31"/>
  <c r="L30" i="31"/>
  <c r="L31" i="31"/>
  <c r="L32" i="31"/>
  <c r="L33" i="31"/>
  <c r="L35" i="31"/>
  <c r="L36" i="31"/>
  <c r="L38" i="31"/>
  <c r="L39" i="31"/>
  <c r="L40" i="31"/>
  <c r="L41" i="31"/>
  <c r="L42" i="31"/>
  <c r="L43" i="31"/>
  <c r="L45" i="31"/>
  <c r="L46" i="31"/>
  <c r="L47" i="31"/>
  <c r="L48" i="31"/>
  <c r="L49" i="31"/>
  <c r="L51" i="31"/>
  <c r="L52" i="31"/>
  <c r="L53" i="31"/>
  <c r="L54" i="31"/>
  <c r="L55" i="31"/>
  <c r="L56" i="31"/>
  <c r="L57" i="31"/>
  <c r="L58" i="31"/>
  <c r="L59" i="31"/>
  <c r="L60" i="31"/>
  <c r="L61" i="31"/>
  <c r="L62" i="31"/>
  <c r="L63" i="31"/>
  <c r="L64" i="31"/>
  <c r="L65" i="31"/>
  <c r="L66" i="31"/>
  <c r="L67" i="31"/>
  <c r="L68" i="31"/>
  <c r="L69" i="31"/>
  <c r="L70" i="31"/>
  <c r="L71" i="31"/>
  <c r="L73" i="31"/>
  <c r="L74" i="31"/>
  <c r="L76" i="31"/>
  <c r="L77" i="31"/>
  <c r="L78" i="31"/>
  <c r="L80" i="31"/>
  <c r="M15" i="31"/>
  <c r="L15" i="31"/>
  <c r="M86" i="30"/>
  <c r="P77" i="30"/>
  <c r="M77" i="30"/>
  <c r="P45" i="30"/>
  <c r="M45" i="30"/>
  <c r="P38" i="30"/>
  <c r="M38" i="30"/>
  <c r="P34" i="30"/>
  <c r="P39" i="30"/>
  <c r="P40" i="30"/>
  <c r="P41" i="30"/>
  <c r="P42" i="30"/>
  <c r="P43" i="30"/>
  <c r="P44" i="30"/>
  <c r="P46" i="30"/>
  <c r="P47" i="30"/>
  <c r="P48" i="30"/>
  <c r="P49" i="30"/>
  <c r="P50" i="30"/>
  <c r="P56" i="30"/>
  <c r="P57" i="30"/>
  <c r="P58" i="30"/>
  <c r="P59" i="30"/>
  <c r="P60" i="30"/>
  <c r="P61" i="30"/>
  <c r="P62" i="30"/>
  <c r="P63" i="30"/>
  <c r="P64" i="30"/>
  <c r="P66" i="30"/>
  <c r="P67" i="30"/>
  <c r="P68" i="30"/>
  <c r="P69" i="30"/>
  <c r="P70" i="30"/>
  <c r="P71" i="30"/>
  <c r="P72" i="30"/>
  <c r="P73" i="30"/>
  <c r="P74" i="30"/>
  <c r="P75" i="30"/>
  <c r="P78" i="30"/>
  <c r="P79" i="30"/>
  <c r="P80" i="30"/>
  <c r="P81" i="30"/>
  <c r="P84" i="30"/>
  <c r="O16" i="30"/>
  <c r="O17" i="30"/>
  <c r="O18" i="30"/>
  <c r="O19" i="30"/>
  <c r="O20" i="30"/>
  <c r="O21" i="30"/>
  <c r="O22" i="30"/>
  <c r="O23" i="30"/>
  <c r="O24" i="30"/>
  <c r="O25" i="30"/>
  <c r="O26" i="30"/>
  <c r="O27" i="30"/>
  <c r="O28" i="30"/>
  <c r="O29" i="30"/>
  <c r="O30" i="30"/>
  <c r="O31" i="30"/>
  <c r="O32" i="30"/>
  <c r="O33" i="30"/>
  <c r="O34" i="30"/>
  <c r="O36" i="30"/>
  <c r="O37" i="30"/>
  <c r="O39" i="30"/>
  <c r="O40" i="30"/>
  <c r="O41" i="30"/>
  <c r="O42" i="30"/>
  <c r="O43" i="30"/>
  <c r="O44" i="30"/>
  <c r="O46" i="30"/>
  <c r="O47" i="30"/>
  <c r="O48" i="30"/>
  <c r="O49" i="30"/>
  <c r="O50" i="30"/>
  <c r="O52" i="30"/>
  <c r="O53" i="30"/>
  <c r="O54" i="30"/>
  <c r="O55" i="30"/>
  <c r="O56" i="30"/>
  <c r="O57" i="30"/>
  <c r="O58" i="30"/>
  <c r="O59" i="30"/>
  <c r="O60" i="30"/>
  <c r="O61" i="30"/>
  <c r="O62" i="30"/>
  <c r="O63" i="30"/>
  <c r="O64" i="30"/>
  <c r="O65" i="30"/>
  <c r="O66" i="30"/>
  <c r="O67" i="30"/>
  <c r="O68" i="30"/>
  <c r="O69" i="30"/>
  <c r="O70" i="30"/>
  <c r="O71" i="30"/>
  <c r="O72" i="30"/>
  <c r="O73" i="30"/>
  <c r="O74" i="30"/>
  <c r="O75" i="30"/>
  <c r="O76" i="30"/>
  <c r="O78" i="30"/>
  <c r="O79" i="30"/>
  <c r="O80" i="30"/>
  <c r="O81" i="30"/>
  <c r="O83" i="30"/>
  <c r="O84" i="30"/>
  <c r="O85" i="30"/>
  <c r="O87" i="30"/>
  <c r="O15" i="30"/>
  <c r="N16" i="30"/>
  <c r="P16" i="30" s="1"/>
  <c r="N17" i="30"/>
  <c r="P17" i="30" s="1"/>
  <c r="N18" i="30"/>
  <c r="P18" i="30" s="1"/>
  <c r="N19" i="30"/>
  <c r="P19" i="30" s="1"/>
  <c r="N20" i="30"/>
  <c r="P20" i="30" s="1"/>
  <c r="N21" i="30"/>
  <c r="P21" i="30" s="1"/>
  <c r="N22" i="30"/>
  <c r="P22" i="30" s="1"/>
  <c r="N23" i="30"/>
  <c r="P23" i="30" s="1"/>
  <c r="N24" i="30"/>
  <c r="P24" i="30" s="1"/>
  <c r="N25" i="30"/>
  <c r="P25" i="30" s="1"/>
  <c r="N26" i="30"/>
  <c r="P26" i="30" s="1"/>
  <c r="N27" i="30"/>
  <c r="P27" i="30" s="1"/>
  <c r="N28" i="30"/>
  <c r="P28" i="30" s="1"/>
  <c r="N29" i="30"/>
  <c r="P29" i="30" s="1"/>
  <c r="N30" i="30"/>
  <c r="P30" i="30" s="1"/>
  <c r="N32" i="30"/>
  <c r="P32" i="30" s="1"/>
  <c r="N33" i="30"/>
  <c r="P33" i="30" s="1"/>
  <c r="N34" i="30"/>
  <c r="N36" i="30"/>
  <c r="P36" i="30" s="1"/>
  <c r="N37" i="30"/>
  <c r="P37" i="30" s="1"/>
  <c r="N39" i="30"/>
  <c r="N40" i="30"/>
  <c r="N41" i="30"/>
  <c r="N42" i="30"/>
  <c r="N43" i="30"/>
  <c r="N44" i="30"/>
  <c r="N46" i="30"/>
  <c r="N47" i="30"/>
  <c r="N48" i="30"/>
  <c r="N49" i="30"/>
  <c r="N50" i="30"/>
  <c r="N52" i="30"/>
  <c r="P52" i="30" s="1"/>
  <c r="N53" i="30"/>
  <c r="P53" i="30" s="1"/>
  <c r="N54" i="30"/>
  <c r="P54" i="30" s="1"/>
  <c r="N55" i="30"/>
  <c r="P55" i="30" s="1"/>
  <c r="N56" i="30"/>
  <c r="N57" i="30"/>
  <c r="N58" i="30"/>
  <c r="N59" i="30"/>
  <c r="N60" i="30"/>
  <c r="N61" i="30"/>
  <c r="N62" i="30"/>
  <c r="N63" i="30"/>
  <c r="N64" i="30"/>
  <c r="N65" i="30"/>
  <c r="P65" i="30" s="1"/>
  <c r="N66" i="30"/>
  <c r="N67" i="30"/>
  <c r="N68" i="30"/>
  <c r="N69" i="30"/>
  <c r="N70" i="30"/>
  <c r="N71" i="30"/>
  <c r="N72" i="30"/>
  <c r="N73" i="30"/>
  <c r="N74" i="30"/>
  <c r="N75" i="30"/>
  <c r="N76" i="30"/>
  <c r="P76" i="30" s="1"/>
  <c r="N78" i="30"/>
  <c r="N79" i="30"/>
  <c r="N80" i="30"/>
  <c r="N81" i="30"/>
  <c r="N83" i="30"/>
  <c r="P83" i="30" s="1"/>
  <c r="N84" i="30"/>
  <c r="N85" i="30"/>
  <c r="P85" i="30" s="1"/>
  <c r="N87" i="30"/>
  <c r="P87" i="30" s="1"/>
  <c r="P86" i="30" s="1"/>
  <c r="N15" i="30"/>
  <c r="P15" i="30" s="1"/>
  <c r="M16" i="30"/>
  <c r="M17" i="30"/>
  <c r="M18" i="30"/>
  <c r="M19" i="30"/>
  <c r="M20" i="30"/>
  <c r="M21" i="30"/>
  <c r="M22" i="30"/>
  <c r="M24" i="30"/>
  <c r="M25" i="30"/>
  <c r="M26" i="30"/>
  <c r="M27" i="30"/>
  <c r="M28" i="30"/>
  <c r="M29" i="30"/>
  <c r="M30" i="30"/>
  <c r="M32" i="30"/>
  <c r="M33" i="30"/>
  <c r="M34" i="30"/>
  <c r="M36" i="30"/>
  <c r="M35" i="30" s="1"/>
  <c r="M37" i="30"/>
  <c r="M39" i="30"/>
  <c r="M40" i="30"/>
  <c r="M41" i="30"/>
  <c r="M42" i="30"/>
  <c r="M43" i="30"/>
  <c r="M44" i="30"/>
  <c r="M46" i="30"/>
  <c r="M47" i="30"/>
  <c r="M48" i="30"/>
  <c r="M49" i="30"/>
  <c r="M50" i="30"/>
  <c r="M52" i="30"/>
  <c r="M53" i="30"/>
  <c r="M54" i="30"/>
  <c r="M55" i="30"/>
  <c r="M56" i="30"/>
  <c r="M57" i="30"/>
  <c r="M58" i="30"/>
  <c r="M59" i="30"/>
  <c r="M60" i="30"/>
  <c r="M61" i="30"/>
  <c r="M62" i="30"/>
  <c r="M63" i="30"/>
  <c r="M64" i="30"/>
  <c r="M65" i="30"/>
  <c r="M66" i="30"/>
  <c r="M67" i="30"/>
  <c r="M68" i="30"/>
  <c r="M69" i="30"/>
  <c r="M70" i="30"/>
  <c r="M71" i="30"/>
  <c r="M72" i="30"/>
  <c r="M73" i="30"/>
  <c r="M74" i="30"/>
  <c r="M75" i="30"/>
  <c r="M76" i="30"/>
  <c r="M78" i="30"/>
  <c r="M79" i="30"/>
  <c r="M80" i="30"/>
  <c r="M81" i="30"/>
  <c r="M83" i="30"/>
  <c r="M84" i="30"/>
  <c r="M85" i="30"/>
  <c r="M87" i="30"/>
  <c r="L16" i="30"/>
  <c r="L17" i="30"/>
  <c r="L18" i="30"/>
  <c r="L19" i="30"/>
  <c r="L20" i="30"/>
  <c r="L21" i="30"/>
  <c r="L22" i="30"/>
  <c r="L23" i="30"/>
  <c r="L24" i="30"/>
  <c r="L25" i="30"/>
  <c r="L26" i="30"/>
  <c r="L27" i="30"/>
  <c r="L28" i="30"/>
  <c r="L29" i="30"/>
  <c r="L30" i="30"/>
  <c r="L31" i="30"/>
  <c r="L32" i="30"/>
  <c r="L33" i="30"/>
  <c r="L34" i="30"/>
  <c r="L36" i="30"/>
  <c r="L37" i="30"/>
  <c r="L39" i="30"/>
  <c r="L40" i="30"/>
  <c r="L41" i="30"/>
  <c r="L42" i="30"/>
  <c r="L43" i="30"/>
  <c r="L44" i="30"/>
  <c r="L46" i="30"/>
  <c r="L47" i="30"/>
  <c r="L48" i="30"/>
  <c r="L49" i="30"/>
  <c r="L50" i="30"/>
  <c r="L52" i="30"/>
  <c r="L53" i="30"/>
  <c r="L54" i="30"/>
  <c r="L55" i="30"/>
  <c r="L56" i="30"/>
  <c r="L57" i="30"/>
  <c r="L58" i="30"/>
  <c r="L59" i="30"/>
  <c r="L60" i="30"/>
  <c r="L61" i="30"/>
  <c r="L62" i="30"/>
  <c r="L63" i="30"/>
  <c r="L64" i="30"/>
  <c r="L65" i="30"/>
  <c r="L66" i="30"/>
  <c r="L67" i="30"/>
  <c r="L68" i="30"/>
  <c r="L69" i="30"/>
  <c r="L70" i="30"/>
  <c r="L71" i="30"/>
  <c r="L72" i="30"/>
  <c r="L73" i="30"/>
  <c r="L74" i="30"/>
  <c r="L75" i="30"/>
  <c r="L76" i="30"/>
  <c r="L78" i="30"/>
  <c r="L79" i="30"/>
  <c r="L80" i="30"/>
  <c r="L81" i="30"/>
  <c r="L83" i="30"/>
  <c r="L84" i="30"/>
  <c r="L85" i="30"/>
  <c r="L87" i="30"/>
  <c r="M15" i="30"/>
  <c r="L15" i="30"/>
  <c r="P49" i="29"/>
  <c r="P50" i="29"/>
  <c r="P58" i="29"/>
  <c r="P59" i="29"/>
  <c r="P66" i="29"/>
  <c r="P67" i="29"/>
  <c r="P76" i="29"/>
  <c r="O16" i="29"/>
  <c r="O17" i="29"/>
  <c r="O18" i="29"/>
  <c r="O19" i="29"/>
  <c r="O20" i="29"/>
  <c r="O21" i="29"/>
  <c r="O22" i="29"/>
  <c r="O23" i="29"/>
  <c r="O24" i="29"/>
  <c r="O25" i="29"/>
  <c r="O26" i="29"/>
  <c r="O27" i="29"/>
  <c r="O28" i="29"/>
  <c r="O29" i="29"/>
  <c r="O30" i="29"/>
  <c r="O31" i="29"/>
  <c r="O32" i="29"/>
  <c r="O33" i="29"/>
  <c r="O34" i="29"/>
  <c r="O35" i="29"/>
  <c r="O36" i="29"/>
  <c r="O37" i="29"/>
  <c r="O39" i="29"/>
  <c r="O40" i="29"/>
  <c r="O42" i="29"/>
  <c r="O43" i="29"/>
  <c r="O45" i="29"/>
  <c r="O46" i="29"/>
  <c r="O47" i="29"/>
  <c r="O48" i="29"/>
  <c r="O49" i="29"/>
  <c r="O50" i="29"/>
  <c r="O51" i="29"/>
  <c r="O52" i="29"/>
  <c r="O53" i="29"/>
  <c r="O55" i="29"/>
  <c r="O56" i="29"/>
  <c r="O57" i="29"/>
  <c r="O58" i="29"/>
  <c r="O59" i="29"/>
  <c r="O60" i="29"/>
  <c r="O61" i="29"/>
  <c r="O62" i="29"/>
  <c r="O63" i="29"/>
  <c r="O64" i="29"/>
  <c r="O65" i="29"/>
  <c r="O66" i="29"/>
  <c r="O67" i="29"/>
  <c r="O68" i="29"/>
  <c r="O69" i="29"/>
  <c r="O70" i="29"/>
  <c r="O71" i="29"/>
  <c r="O72" i="29"/>
  <c r="O73" i="29"/>
  <c r="O74" i="29"/>
  <c r="O76" i="29"/>
  <c r="O77" i="29"/>
  <c r="O79" i="29"/>
  <c r="O80" i="29"/>
  <c r="O81" i="29"/>
  <c r="O83" i="29"/>
  <c r="N16" i="29"/>
  <c r="P16" i="29" s="1"/>
  <c r="N17" i="29"/>
  <c r="P17" i="29" s="1"/>
  <c r="N20" i="29"/>
  <c r="P20" i="29" s="1"/>
  <c r="N21" i="29"/>
  <c r="P21" i="29" s="1"/>
  <c r="N22" i="29"/>
  <c r="P22" i="29" s="1"/>
  <c r="N24" i="29"/>
  <c r="P24" i="29" s="1"/>
  <c r="N25" i="29"/>
  <c r="P25" i="29" s="1"/>
  <c r="N28" i="29"/>
  <c r="P28" i="29" s="1"/>
  <c r="N29" i="29"/>
  <c r="P29" i="29" s="1"/>
  <c r="N30" i="29"/>
  <c r="P30" i="29" s="1"/>
  <c r="N32" i="29"/>
  <c r="P32" i="29" s="1"/>
  <c r="N33" i="29"/>
  <c r="P33" i="29" s="1"/>
  <c r="N36" i="29"/>
  <c r="P36" i="29" s="1"/>
  <c r="N37" i="29"/>
  <c r="P37" i="29" s="1"/>
  <c r="N39" i="29"/>
  <c r="P39" i="29" s="1"/>
  <c r="N40" i="29"/>
  <c r="P40" i="29" s="1"/>
  <c r="N42" i="29"/>
  <c r="P42" i="29" s="1"/>
  <c r="N43" i="29"/>
  <c r="P43" i="29" s="1"/>
  <c r="N45" i="29"/>
  <c r="P45" i="29" s="1"/>
  <c r="N46" i="29"/>
  <c r="P46" i="29" s="1"/>
  <c r="N47" i="29"/>
  <c r="P47" i="29" s="1"/>
  <c r="N48" i="29"/>
  <c r="P48" i="29" s="1"/>
  <c r="N49" i="29"/>
  <c r="N50" i="29"/>
  <c r="N51" i="29"/>
  <c r="P51" i="29" s="1"/>
  <c r="N52" i="29"/>
  <c r="P52" i="29" s="1"/>
  <c r="N53" i="29"/>
  <c r="P53" i="29" s="1"/>
  <c r="N55" i="29"/>
  <c r="P55" i="29" s="1"/>
  <c r="N56" i="29"/>
  <c r="P56" i="29" s="1"/>
  <c r="N57" i="29"/>
  <c r="P57" i="29" s="1"/>
  <c r="N58" i="29"/>
  <c r="N59" i="29"/>
  <c r="N60" i="29"/>
  <c r="P60" i="29" s="1"/>
  <c r="N61" i="29"/>
  <c r="P61" i="29" s="1"/>
  <c r="N62" i="29"/>
  <c r="P62" i="29" s="1"/>
  <c r="N63" i="29"/>
  <c r="P63" i="29" s="1"/>
  <c r="N64" i="29"/>
  <c r="P64" i="29" s="1"/>
  <c r="N65" i="29"/>
  <c r="P65" i="29" s="1"/>
  <c r="N66" i="29"/>
  <c r="N67" i="29"/>
  <c r="N68" i="29"/>
  <c r="P68" i="29" s="1"/>
  <c r="N69" i="29"/>
  <c r="P69" i="29" s="1"/>
  <c r="N70" i="29"/>
  <c r="P70" i="29" s="1"/>
  <c r="N71" i="29"/>
  <c r="P71" i="29" s="1"/>
  <c r="N72" i="29"/>
  <c r="P72" i="29" s="1"/>
  <c r="N73" i="29"/>
  <c r="P73" i="29" s="1"/>
  <c r="N74" i="29"/>
  <c r="P74" i="29" s="1"/>
  <c r="N76" i="29"/>
  <c r="N77" i="29"/>
  <c r="P77" i="29" s="1"/>
  <c r="N79" i="29"/>
  <c r="P79" i="29" s="1"/>
  <c r="N80" i="29"/>
  <c r="P80" i="29" s="1"/>
  <c r="N81" i="29"/>
  <c r="P81" i="29" s="1"/>
  <c r="N83" i="29"/>
  <c r="P83" i="29" s="1"/>
  <c r="P82" i="29" s="1"/>
  <c r="O15" i="29"/>
  <c r="N15" i="29"/>
  <c r="P15" i="29" s="1"/>
  <c r="M20" i="29"/>
  <c r="M21" i="29"/>
  <c r="M24" i="29"/>
  <c r="M28" i="29"/>
  <c r="M29" i="29"/>
  <c r="M32" i="29"/>
  <c r="M36" i="29"/>
  <c r="M37" i="29"/>
  <c r="M42" i="29"/>
  <c r="M47" i="29"/>
  <c r="M48" i="29"/>
  <c r="M51" i="29"/>
  <c r="M56" i="29"/>
  <c r="M57" i="29"/>
  <c r="M60" i="29"/>
  <c r="M64" i="29"/>
  <c r="M65" i="29"/>
  <c r="M68" i="29"/>
  <c r="M72" i="29"/>
  <c r="M73" i="29"/>
  <c r="M77" i="29"/>
  <c r="M83" i="29"/>
  <c r="M82" i="29" s="1"/>
  <c r="M15" i="29"/>
  <c r="L16" i="29"/>
  <c r="M16" i="29" s="1"/>
  <c r="L17" i="29"/>
  <c r="M17" i="29" s="1"/>
  <c r="L18" i="29"/>
  <c r="L19" i="29"/>
  <c r="L20" i="29"/>
  <c r="L21" i="29"/>
  <c r="L22" i="29"/>
  <c r="M22" i="29" s="1"/>
  <c r="L23" i="29"/>
  <c r="L24" i="29"/>
  <c r="L25" i="29"/>
  <c r="M25" i="29" s="1"/>
  <c r="L26" i="29"/>
  <c r="L27" i="29"/>
  <c r="L28" i="29"/>
  <c r="L29" i="29"/>
  <c r="L30" i="29"/>
  <c r="M30" i="29" s="1"/>
  <c r="L31" i="29"/>
  <c r="L32" i="29"/>
  <c r="L33" i="29"/>
  <c r="M33" i="29" s="1"/>
  <c r="L34" i="29"/>
  <c r="L35" i="29"/>
  <c r="L36" i="29"/>
  <c r="L37" i="29"/>
  <c r="L39" i="29"/>
  <c r="M39" i="29" s="1"/>
  <c r="L40" i="29"/>
  <c r="M40" i="29" s="1"/>
  <c r="L42" i="29"/>
  <c r="L43" i="29"/>
  <c r="M43" i="29" s="1"/>
  <c r="L45" i="29"/>
  <c r="M45" i="29" s="1"/>
  <c r="L46" i="29"/>
  <c r="M46" i="29" s="1"/>
  <c r="L47" i="29"/>
  <c r="L48" i="29"/>
  <c r="L49" i="29"/>
  <c r="M49" i="29" s="1"/>
  <c r="L50" i="29"/>
  <c r="M50" i="29" s="1"/>
  <c r="L51" i="29"/>
  <c r="L52" i="29"/>
  <c r="M52" i="29" s="1"/>
  <c r="L53" i="29"/>
  <c r="M53" i="29" s="1"/>
  <c r="L55" i="29"/>
  <c r="M55" i="29" s="1"/>
  <c r="L56" i="29"/>
  <c r="L57" i="29"/>
  <c r="L58" i="29"/>
  <c r="M58" i="29" s="1"/>
  <c r="L59" i="29"/>
  <c r="M59" i="29" s="1"/>
  <c r="L60" i="29"/>
  <c r="L61" i="29"/>
  <c r="M61" i="29" s="1"/>
  <c r="L62" i="29"/>
  <c r="M62" i="29" s="1"/>
  <c r="L63" i="29"/>
  <c r="M63" i="29" s="1"/>
  <c r="L64" i="29"/>
  <c r="L65" i="29"/>
  <c r="L66" i="29"/>
  <c r="M66" i="29" s="1"/>
  <c r="L67" i="29"/>
  <c r="M67" i="29" s="1"/>
  <c r="L68" i="29"/>
  <c r="L69" i="29"/>
  <c r="M69" i="29" s="1"/>
  <c r="L70" i="29"/>
  <c r="M70" i="29" s="1"/>
  <c r="L71" i="29"/>
  <c r="M71" i="29" s="1"/>
  <c r="L72" i="29"/>
  <c r="L73" i="29"/>
  <c r="L74" i="29"/>
  <c r="M74" i="29" s="1"/>
  <c r="L76" i="29"/>
  <c r="M76" i="29" s="1"/>
  <c r="M75" i="29" s="1"/>
  <c r="L77" i="29"/>
  <c r="L79" i="29"/>
  <c r="M79" i="29" s="1"/>
  <c r="L80" i="29"/>
  <c r="M80" i="29" s="1"/>
  <c r="L81" i="29"/>
  <c r="M81" i="29" s="1"/>
  <c r="L83" i="29"/>
  <c r="L15" i="29"/>
  <c r="P50" i="28"/>
  <c r="P59" i="28"/>
  <c r="P67" i="28"/>
  <c r="O16" i="28"/>
  <c r="O17" i="28"/>
  <c r="O18" i="28"/>
  <c r="O19" i="28"/>
  <c r="O20" i="28"/>
  <c r="O21" i="28"/>
  <c r="O22" i="28"/>
  <c r="O23" i="28"/>
  <c r="O24" i="28"/>
  <c r="O25" i="28"/>
  <c r="O26" i="28"/>
  <c r="O27" i="28"/>
  <c r="O28" i="28"/>
  <c r="O29" i="28"/>
  <c r="O30" i="28"/>
  <c r="O31" i="28"/>
  <c r="O32" i="28"/>
  <c r="O33" i="28"/>
  <c r="O34" i="28"/>
  <c r="O35" i="28"/>
  <c r="O36" i="28"/>
  <c r="O37" i="28"/>
  <c r="O39" i="28"/>
  <c r="O40" i="28"/>
  <c r="O42" i="28"/>
  <c r="O43" i="28"/>
  <c r="O44" i="28"/>
  <c r="O45" i="28"/>
  <c r="O47" i="28"/>
  <c r="O48" i="28"/>
  <c r="O49" i="28"/>
  <c r="P49" i="28" s="1"/>
  <c r="O50" i="28"/>
  <c r="O51" i="28"/>
  <c r="O52" i="28"/>
  <c r="O53" i="28"/>
  <c r="O54" i="28"/>
  <c r="O56" i="28"/>
  <c r="O57" i="28"/>
  <c r="O58" i="28"/>
  <c r="P58" i="28" s="1"/>
  <c r="O59" i="28"/>
  <c r="O60" i="28"/>
  <c r="O61" i="28"/>
  <c r="O62" i="28"/>
  <c r="O63" i="28"/>
  <c r="O64" i="28"/>
  <c r="O65" i="28"/>
  <c r="O66" i="28"/>
  <c r="P66" i="28" s="1"/>
  <c r="O67" i="28"/>
  <c r="O68" i="28"/>
  <c r="O69" i="28"/>
  <c r="O70" i="28"/>
  <c r="O71" i="28"/>
  <c r="O72" i="28"/>
  <c r="O73" i="28"/>
  <c r="O74" i="28"/>
  <c r="P74" i="28" s="1"/>
  <c r="O75" i="28"/>
  <c r="O77" i="28"/>
  <c r="O78" i="28"/>
  <c r="O79" i="28"/>
  <c r="O80" i="28"/>
  <c r="O82" i="28"/>
  <c r="O83" i="28"/>
  <c r="O84" i="28"/>
  <c r="P84" i="28" s="1"/>
  <c r="O86" i="28"/>
  <c r="O15" i="28"/>
  <c r="N16" i="28"/>
  <c r="P16" i="28" s="1"/>
  <c r="N17" i="28"/>
  <c r="P17" i="28" s="1"/>
  <c r="N18" i="28"/>
  <c r="P18" i="28" s="1"/>
  <c r="N19" i="28"/>
  <c r="P19" i="28" s="1"/>
  <c r="N20" i="28"/>
  <c r="P20" i="28" s="1"/>
  <c r="N21" i="28"/>
  <c r="P21" i="28" s="1"/>
  <c r="N22" i="28"/>
  <c r="N24" i="28"/>
  <c r="P24" i="28" s="1"/>
  <c r="N25" i="28"/>
  <c r="P25" i="28" s="1"/>
  <c r="N26" i="28"/>
  <c r="P26" i="28" s="1"/>
  <c r="N27" i="28"/>
  <c r="P27" i="28" s="1"/>
  <c r="N28" i="28"/>
  <c r="P28" i="28" s="1"/>
  <c r="N29" i="28"/>
  <c r="P29" i="28" s="1"/>
  <c r="N30" i="28"/>
  <c r="N32" i="28"/>
  <c r="P32" i="28" s="1"/>
  <c r="N33" i="28"/>
  <c r="P33" i="28" s="1"/>
  <c r="N34" i="28"/>
  <c r="P34" i="28" s="1"/>
  <c r="N35" i="28"/>
  <c r="P35" i="28" s="1"/>
  <c r="N36" i="28"/>
  <c r="P36" i="28" s="1"/>
  <c r="N37" i="28"/>
  <c r="P37" i="28" s="1"/>
  <c r="N39" i="28"/>
  <c r="N40" i="28"/>
  <c r="P40" i="28" s="1"/>
  <c r="N42" i="28"/>
  <c r="P42" i="28" s="1"/>
  <c r="N43" i="28"/>
  <c r="P43" i="28" s="1"/>
  <c r="N44" i="28"/>
  <c r="P44" i="28" s="1"/>
  <c r="N45" i="28"/>
  <c r="P45" i="28" s="1"/>
  <c r="N47" i="28"/>
  <c r="P47" i="28" s="1"/>
  <c r="N48" i="28"/>
  <c r="P48" i="28" s="1"/>
  <c r="N49" i="28"/>
  <c r="N50" i="28"/>
  <c r="N51" i="28"/>
  <c r="P51" i="28" s="1"/>
  <c r="N52" i="28"/>
  <c r="P52" i="28" s="1"/>
  <c r="N53" i="28"/>
  <c r="P53" i="28" s="1"/>
  <c r="N54" i="28"/>
  <c r="P54" i="28" s="1"/>
  <c r="N56" i="28"/>
  <c r="P56" i="28" s="1"/>
  <c r="N57" i="28"/>
  <c r="P57" i="28" s="1"/>
  <c r="N58" i="28"/>
  <c r="N59" i="28"/>
  <c r="N60" i="28"/>
  <c r="P60" i="28" s="1"/>
  <c r="N61" i="28"/>
  <c r="P61" i="28" s="1"/>
  <c r="N62" i="28"/>
  <c r="P62" i="28" s="1"/>
  <c r="N63" i="28"/>
  <c r="P63" i="28" s="1"/>
  <c r="N64" i="28"/>
  <c r="P64" i="28" s="1"/>
  <c r="N65" i="28"/>
  <c r="P65" i="28" s="1"/>
  <c r="N66" i="28"/>
  <c r="N67" i="28"/>
  <c r="N68" i="28"/>
  <c r="P68" i="28" s="1"/>
  <c r="N69" i="28"/>
  <c r="P69" i="28" s="1"/>
  <c r="N70" i="28"/>
  <c r="P70" i="28" s="1"/>
  <c r="N71" i="28"/>
  <c r="P71" i="28" s="1"/>
  <c r="N72" i="28"/>
  <c r="P72" i="28" s="1"/>
  <c r="N73" i="28"/>
  <c r="P73" i="28" s="1"/>
  <c r="N74" i="28"/>
  <c r="N75" i="28"/>
  <c r="P75" i="28" s="1"/>
  <c r="N77" i="28"/>
  <c r="P77" i="28" s="1"/>
  <c r="P76" i="28" s="1"/>
  <c r="N78" i="28"/>
  <c r="P78" i="28" s="1"/>
  <c r="N79" i="28"/>
  <c r="P79" i="28" s="1"/>
  <c r="N80" i="28"/>
  <c r="P80" i="28" s="1"/>
  <c r="N82" i="28"/>
  <c r="P82" i="28" s="1"/>
  <c r="N83" i="28"/>
  <c r="P83" i="28" s="1"/>
  <c r="N84" i="28"/>
  <c r="N86" i="28"/>
  <c r="P86" i="28" s="1"/>
  <c r="P85" i="28" s="1"/>
  <c r="N15" i="28"/>
  <c r="P15" i="28" s="1"/>
  <c r="M20" i="28"/>
  <c r="M28" i="28"/>
  <c r="M36" i="28"/>
  <c r="M47" i="28"/>
  <c r="M56" i="28"/>
  <c r="M64" i="28"/>
  <c r="M72" i="28"/>
  <c r="M82" i="28"/>
  <c r="L16" i="28"/>
  <c r="M16" i="28" s="1"/>
  <c r="L17" i="28"/>
  <c r="M17" i="28" s="1"/>
  <c r="L18" i="28"/>
  <c r="M18" i="28" s="1"/>
  <c r="L19" i="28"/>
  <c r="M19" i="28" s="1"/>
  <c r="L20" i="28"/>
  <c r="L21" i="28"/>
  <c r="M21" i="28" s="1"/>
  <c r="L22" i="28"/>
  <c r="M22" i="28" s="1"/>
  <c r="L23" i="28"/>
  <c r="L24" i="28"/>
  <c r="M24" i="28" s="1"/>
  <c r="L25" i="28"/>
  <c r="M25" i="28" s="1"/>
  <c r="L26" i="28"/>
  <c r="M26" i="28" s="1"/>
  <c r="L27" i="28"/>
  <c r="M27" i="28" s="1"/>
  <c r="L28" i="28"/>
  <c r="L29" i="28"/>
  <c r="M29" i="28" s="1"/>
  <c r="L30" i="28"/>
  <c r="M30" i="28" s="1"/>
  <c r="L31" i="28"/>
  <c r="L32" i="28"/>
  <c r="M32" i="28" s="1"/>
  <c r="L33" i="28"/>
  <c r="M33" i="28" s="1"/>
  <c r="L34" i="28"/>
  <c r="M34" i="28" s="1"/>
  <c r="L35" i="28"/>
  <c r="M35" i="28" s="1"/>
  <c r="L36" i="28"/>
  <c r="L37" i="28"/>
  <c r="M37" i="28" s="1"/>
  <c r="L39" i="28"/>
  <c r="M39" i="28" s="1"/>
  <c r="L40" i="28"/>
  <c r="M40" i="28" s="1"/>
  <c r="L42" i="28"/>
  <c r="M42" i="28" s="1"/>
  <c r="L43" i="28"/>
  <c r="M43" i="28" s="1"/>
  <c r="L44" i="28"/>
  <c r="M44" i="28" s="1"/>
  <c r="L45" i="28"/>
  <c r="M45" i="28" s="1"/>
  <c r="L47" i="28"/>
  <c r="L48" i="28"/>
  <c r="M48" i="28" s="1"/>
  <c r="L49" i="28"/>
  <c r="M49" i="28" s="1"/>
  <c r="L50" i="28"/>
  <c r="M50" i="28" s="1"/>
  <c r="L51" i="28"/>
  <c r="M51" i="28" s="1"/>
  <c r="L52" i="28"/>
  <c r="M52" i="28" s="1"/>
  <c r="L53" i="28"/>
  <c r="M53" i="28" s="1"/>
  <c r="L54" i="28"/>
  <c r="M54" i="28" s="1"/>
  <c r="L56" i="28"/>
  <c r="L57" i="28"/>
  <c r="M57" i="28" s="1"/>
  <c r="L58" i="28"/>
  <c r="M58" i="28" s="1"/>
  <c r="L59" i="28"/>
  <c r="M59" i="28" s="1"/>
  <c r="L60" i="28"/>
  <c r="M60" i="28" s="1"/>
  <c r="L61" i="28"/>
  <c r="M61" i="28" s="1"/>
  <c r="L62" i="28"/>
  <c r="M62" i="28" s="1"/>
  <c r="L63" i="28"/>
  <c r="M63" i="28" s="1"/>
  <c r="L64" i="28"/>
  <c r="L65" i="28"/>
  <c r="M65" i="28" s="1"/>
  <c r="L66" i="28"/>
  <c r="M66" i="28" s="1"/>
  <c r="L67" i="28"/>
  <c r="M67" i="28" s="1"/>
  <c r="L68" i="28"/>
  <c r="M68" i="28" s="1"/>
  <c r="L69" i="28"/>
  <c r="M69" i="28" s="1"/>
  <c r="L70" i="28"/>
  <c r="M70" i="28" s="1"/>
  <c r="L71" i="28"/>
  <c r="M71" i="28" s="1"/>
  <c r="L72" i="28"/>
  <c r="L73" i="28"/>
  <c r="M73" i="28" s="1"/>
  <c r="L74" i="28"/>
  <c r="M74" i="28" s="1"/>
  <c r="L75" i="28"/>
  <c r="M75" i="28" s="1"/>
  <c r="L77" i="28"/>
  <c r="M77" i="28" s="1"/>
  <c r="L78" i="28"/>
  <c r="M78" i="28" s="1"/>
  <c r="L79" i="28"/>
  <c r="M79" i="28" s="1"/>
  <c r="L80" i="28"/>
  <c r="M80" i="28" s="1"/>
  <c r="L82" i="28"/>
  <c r="L83" i="28"/>
  <c r="M83" i="28" s="1"/>
  <c r="L84" i="28"/>
  <c r="M84" i="28" s="1"/>
  <c r="L86" i="28"/>
  <c r="M86" i="28" s="1"/>
  <c r="M85" i="28" s="1"/>
  <c r="L15" i="28"/>
  <c r="M15" i="28" s="1"/>
  <c r="P49" i="27"/>
  <c r="P58" i="27"/>
  <c r="P66" i="27"/>
  <c r="P75" i="27"/>
  <c r="O16" i="27"/>
  <c r="O17" i="27"/>
  <c r="O18" i="27"/>
  <c r="O19" i="27"/>
  <c r="O20" i="27"/>
  <c r="O21" i="27"/>
  <c r="O22" i="27"/>
  <c r="O23" i="27"/>
  <c r="O24" i="27"/>
  <c r="O25" i="27"/>
  <c r="O26" i="27"/>
  <c r="O27" i="27"/>
  <c r="O28" i="27"/>
  <c r="O29" i="27"/>
  <c r="O30" i="27"/>
  <c r="O31" i="27"/>
  <c r="O32" i="27"/>
  <c r="O33" i="27"/>
  <c r="O34" i="27"/>
  <c r="O35" i="27"/>
  <c r="O36" i="27"/>
  <c r="O37" i="27"/>
  <c r="O38" i="27"/>
  <c r="O39" i="27"/>
  <c r="O41" i="27"/>
  <c r="O42" i="27"/>
  <c r="O44" i="27"/>
  <c r="O45" i="27"/>
  <c r="O47" i="27"/>
  <c r="O48" i="27"/>
  <c r="O49" i="27"/>
  <c r="O50" i="27"/>
  <c r="O51" i="27"/>
  <c r="O52" i="27"/>
  <c r="O53" i="27"/>
  <c r="O54" i="27"/>
  <c r="O56" i="27"/>
  <c r="O57" i="27"/>
  <c r="O58" i="27"/>
  <c r="O59" i="27"/>
  <c r="O60" i="27"/>
  <c r="O61" i="27"/>
  <c r="O62" i="27"/>
  <c r="O63" i="27"/>
  <c r="O64" i="27"/>
  <c r="O65" i="27"/>
  <c r="O66" i="27"/>
  <c r="O67" i="27"/>
  <c r="O68" i="27"/>
  <c r="O69" i="27"/>
  <c r="O70" i="27"/>
  <c r="O71" i="27"/>
  <c r="O72" i="27"/>
  <c r="O74" i="27"/>
  <c r="O75" i="27"/>
  <c r="O77" i="27"/>
  <c r="O78" i="27"/>
  <c r="O79" i="27"/>
  <c r="O81" i="27"/>
  <c r="O15" i="27"/>
  <c r="N16" i="27"/>
  <c r="P16" i="27" s="1"/>
  <c r="N17" i="27"/>
  <c r="P17" i="27" s="1"/>
  <c r="N18" i="27"/>
  <c r="P18" i="27" s="1"/>
  <c r="N19" i="27"/>
  <c r="P19" i="27" s="1"/>
  <c r="N20" i="27"/>
  <c r="P20" i="27" s="1"/>
  <c r="N22" i="27"/>
  <c r="P22" i="27" s="1"/>
  <c r="N24" i="27"/>
  <c r="P24" i="27" s="1"/>
  <c r="N25" i="27"/>
  <c r="P25" i="27" s="1"/>
  <c r="N26" i="27"/>
  <c r="P26" i="27" s="1"/>
  <c r="N27" i="27"/>
  <c r="P27" i="27" s="1"/>
  <c r="N28" i="27"/>
  <c r="P28" i="27" s="1"/>
  <c r="N30" i="27"/>
  <c r="P30" i="27" s="1"/>
  <c r="N32" i="27"/>
  <c r="P32" i="27" s="1"/>
  <c r="N33" i="27"/>
  <c r="P33" i="27" s="1"/>
  <c r="N34" i="27"/>
  <c r="P34" i="27" s="1"/>
  <c r="N35" i="27"/>
  <c r="P35" i="27" s="1"/>
  <c r="N36" i="27"/>
  <c r="P36" i="27" s="1"/>
  <c r="N38" i="27"/>
  <c r="P38" i="27" s="1"/>
  <c r="N41" i="27"/>
  <c r="P41" i="27" s="1"/>
  <c r="N42" i="27"/>
  <c r="P42" i="27" s="1"/>
  <c r="N44" i="27"/>
  <c r="P44" i="27" s="1"/>
  <c r="N45" i="27"/>
  <c r="P45" i="27" s="1"/>
  <c r="N47" i="27"/>
  <c r="P47" i="27" s="1"/>
  <c r="N48" i="27"/>
  <c r="P48" i="27" s="1"/>
  <c r="N49" i="27"/>
  <c r="N50" i="27"/>
  <c r="P50" i="27" s="1"/>
  <c r="N51" i="27"/>
  <c r="P51" i="27" s="1"/>
  <c r="N52" i="27"/>
  <c r="P52" i="27" s="1"/>
  <c r="N53" i="27"/>
  <c r="P53" i="27" s="1"/>
  <c r="N54" i="27"/>
  <c r="P54" i="27" s="1"/>
  <c r="N56" i="27"/>
  <c r="P56" i="27" s="1"/>
  <c r="N57" i="27"/>
  <c r="P57" i="27" s="1"/>
  <c r="N58" i="27"/>
  <c r="N59" i="27"/>
  <c r="P59" i="27" s="1"/>
  <c r="N60" i="27"/>
  <c r="P60" i="27" s="1"/>
  <c r="N61" i="27"/>
  <c r="P61" i="27" s="1"/>
  <c r="N62" i="27"/>
  <c r="P62" i="27" s="1"/>
  <c r="N63" i="27"/>
  <c r="P63" i="27" s="1"/>
  <c r="N64" i="27"/>
  <c r="P64" i="27" s="1"/>
  <c r="N65" i="27"/>
  <c r="P65" i="27" s="1"/>
  <c r="N66" i="27"/>
  <c r="N67" i="27"/>
  <c r="P67" i="27" s="1"/>
  <c r="N68" i="27"/>
  <c r="P68" i="27" s="1"/>
  <c r="N69" i="27"/>
  <c r="P69" i="27" s="1"/>
  <c r="N70" i="27"/>
  <c r="P70" i="27" s="1"/>
  <c r="N71" i="27"/>
  <c r="P71" i="27" s="1"/>
  <c r="N72" i="27"/>
  <c r="P72" i="27" s="1"/>
  <c r="N74" i="27"/>
  <c r="P74" i="27" s="1"/>
  <c r="P73" i="27" s="1"/>
  <c r="N75" i="27"/>
  <c r="N77" i="27"/>
  <c r="P77" i="27" s="1"/>
  <c r="N78" i="27"/>
  <c r="P78" i="27" s="1"/>
  <c r="N79" i="27"/>
  <c r="P79" i="27" s="1"/>
  <c r="N81" i="27"/>
  <c r="P81" i="27" s="1"/>
  <c r="P80" i="27" s="1"/>
  <c r="M19" i="27"/>
  <c r="M27" i="27"/>
  <c r="M35" i="27"/>
  <c r="M45" i="27"/>
  <c r="M54" i="27"/>
  <c r="M63" i="27"/>
  <c r="M71" i="27"/>
  <c r="L16" i="27"/>
  <c r="M16" i="27" s="1"/>
  <c r="L17" i="27"/>
  <c r="M17" i="27" s="1"/>
  <c r="L18" i="27"/>
  <c r="M18" i="27" s="1"/>
  <c r="L19" i="27"/>
  <c r="L20" i="27"/>
  <c r="M20" i="27" s="1"/>
  <c r="L21" i="27"/>
  <c r="L22" i="27"/>
  <c r="M22" i="27" s="1"/>
  <c r="L23" i="27"/>
  <c r="L24" i="27"/>
  <c r="M24" i="27" s="1"/>
  <c r="L25" i="27"/>
  <c r="M25" i="27" s="1"/>
  <c r="L26" i="27"/>
  <c r="M26" i="27" s="1"/>
  <c r="L27" i="27"/>
  <c r="L28" i="27"/>
  <c r="M28" i="27" s="1"/>
  <c r="L29" i="27"/>
  <c r="L30" i="27"/>
  <c r="M30" i="27" s="1"/>
  <c r="L31" i="27"/>
  <c r="L32" i="27"/>
  <c r="M32" i="27" s="1"/>
  <c r="L33" i="27"/>
  <c r="M33" i="27" s="1"/>
  <c r="L34" i="27"/>
  <c r="M34" i="27" s="1"/>
  <c r="L35" i="27"/>
  <c r="L36" i="27"/>
  <c r="M36" i="27" s="1"/>
  <c r="L37" i="27"/>
  <c r="L38" i="27"/>
  <c r="M38" i="27" s="1"/>
  <c r="L39" i="27"/>
  <c r="L41" i="27"/>
  <c r="M41" i="27" s="1"/>
  <c r="L42" i="27"/>
  <c r="M42" i="27" s="1"/>
  <c r="L44" i="27"/>
  <c r="M44" i="27" s="1"/>
  <c r="M43" i="27" s="1"/>
  <c r="L45" i="27"/>
  <c r="L47" i="27"/>
  <c r="M47" i="27" s="1"/>
  <c r="L48" i="27"/>
  <c r="M48" i="27" s="1"/>
  <c r="L49" i="27"/>
  <c r="M49" i="27" s="1"/>
  <c r="L50" i="27"/>
  <c r="M50" i="27" s="1"/>
  <c r="L51" i="27"/>
  <c r="M51" i="27" s="1"/>
  <c r="L52" i="27"/>
  <c r="M52" i="27" s="1"/>
  <c r="L53" i="27"/>
  <c r="M53" i="27" s="1"/>
  <c r="L54" i="27"/>
  <c r="L56" i="27"/>
  <c r="M56" i="27" s="1"/>
  <c r="L57" i="27"/>
  <c r="M57" i="27" s="1"/>
  <c r="L58" i="27"/>
  <c r="M58" i="27" s="1"/>
  <c r="L59" i="27"/>
  <c r="M59" i="27" s="1"/>
  <c r="L60" i="27"/>
  <c r="M60" i="27" s="1"/>
  <c r="L61" i="27"/>
  <c r="M61" i="27" s="1"/>
  <c r="L62" i="27"/>
  <c r="M62" i="27" s="1"/>
  <c r="L63" i="27"/>
  <c r="L64" i="27"/>
  <c r="M64" i="27" s="1"/>
  <c r="L65" i="27"/>
  <c r="M65" i="27" s="1"/>
  <c r="L66" i="27"/>
  <c r="M66" i="27" s="1"/>
  <c r="L67" i="27"/>
  <c r="M67" i="27" s="1"/>
  <c r="L68" i="27"/>
  <c r="M68" i="27" s="1"/>
  <c r="L69" i="27"/>
  <c r="M69" i="27" s="1"/>
  <c r="L70" i="27"/>
  <c r="M70" i="27" s="1"/>
  <c r="L71" i="27"/>
  <c r="L72" i="27"/>
  <c r="M72" i="27" s="1"/>
  <c r="L73" i="27"/>
  <c r="L74" i="27"/>
  <c r="M74" i="27" s="1"/>
  <c r="M73" i="27" s="1"/>
  <c r="L75" i="27"/>
  <c r="M75" i="27" s="1"/>
  <c r="L77" i="27"/>
  <c r="M77" i="27" s="1"/>
  <c r="L78" i="27"/>
  <c r="M78" i="27" s="1"/>
  <c r="L79" i="27"/>
  <c r="M79" i="27" s="1"/>
  <c r="L81" i="27"/>
  <c r="M81" i="27" s="1"/>
  <c r="M80" i="27" s="1"/>
  <c r="L15" i="27"/>
  <c r="M78" i="26"/>
  <c r="M74" i="26"/>
  <c r="P71" i="26"/>
  <c r="M71" i="26"/>
  <c r="P46" i="26"/>
  <c r="M46" i="26"/>
  <c r="P20" i="26"/>
  <c r="P28" i="26"/>
  <c r="P40" i="26"/>
  <c r="P41" i="26"/>
  <c r="P42" i="26"/>
  <c r="P43" i="26"/>
  <c r="P45" i="26"/>
  <c r="P47" i="26"/>
  <c r="P48" i="26"/>
  <c r="P49" i="26"/>
  <c r="P50" i="26"/>
  <c r="P51" i="26"/>
  <c r="P55" i="26"/>
  <c r="P56" i="26"/>
  <c r="P57" i="26"/>
  <c r="P58" i="26"/>
  <c r="P59" i="26"/>
  <c r="P61" i="26"/>
  <c r="P62" i="26"/>
  <c r="P63" i="26"/>
  <c r="P64" i="26"/>
  <c r="P65" i="26"/>
  <c r="P66" i="26"/>
  <c r="P67" i="26"/>
  <c r="P68" i="26"/>
  <c r="P69" i="26"/>
  <c r="P72" i="26"/>
  <c r="P73" i="26"/>
  <c r="P76" i="26"/>
  <c r="O16" i="26"/>
  <c r="O17" i="26"/>
  <c r="O18" i="26"/>
  <c r="O19" i="26"/>
  <c r="O20" i="26"/>
  <c r="O21" i="26"/>
  <c r="O22" i="26"/>
  <c r="O23" i="26"/>
  <c r="O24" i="26"/>
  <c r="O25" i="26"/>
  <c r="O26" i="26"/>
  <c r="O27" i="26"/>
  <c r="O28" i="26"/>
  <c r="O29" i="26"/>
  <c r="O30" i="26"/>
  <c r="O31" i="26"/>
  <c r="O32" i="26"/>
  <c r="O33" i="26"/>
  <c r="O34" i="26"/>
  <c r="O35" i="26"/>
  <c r="O37" i="26"/>
  <c r="O38" i="26"/>
  <c r="O40" i="26"/>
  <c r="O41" i="26"/>
  <c r="O42" i="26"/>
  <c r="O43" i="26"/>
  <c r="O44" i="26"/>
  <c r="O45" i="26"/>
  <c r="O47" i="26"/>
  <c r="O48" i="26"/>
  <c r="O49" i="26"/>
  <c r="O50" i="26"/>
  <c r="O51" i="26"/>
  <c r="O53" i="26"/>
  <c r="O54" i="26"/>
  <c r="O55" i="26"/>
  <c r="O56" i="26"/>
  <c r="O57" i="26"/>
  <c r="O58" i="26"/>
  <c r="O59" i="26"/>
  <c r="O60" i="26"/>
  <c r="O61" i="26"/>
  <c r="O62" i="26"/>
  <c r="O63" i="26"/>
  <c r="O64" i="26"/>
  <c r="O65" i="26"/>
  <c r="O66" i="26"/>
  <c r="O67" i="26"/>
  <c r="O68" i="26"/>
  <c r="O69" i="26"/>
  <c r="O70" i="26"/>
  <c r="O72" i="26"/>
  <c r="O73" i="26"/>
  <c r="O75" i="26"/>
  <c r="O76" i="26"/>
  <c r="O77" i="26"/>
  <c r="O79" i="26"/>
  <c r="O15" i="26"/>
  <c r="N16" i="26"/>
  <c r="P16" i="26" s="1"/>
  <c r="N17" i="26"/>
  <c r="P17" i="26" s="1"/>
  <c r="N18" i="26"/>
  <c r="P18" i="26" s="1"/>
  <c r="N19" i="26"/>
  <c r="P19" i="26" s="1"/>
  <c r="N20" i="26"/>
  <c r="N21" i="26"/>
  <c r="P21" i="26" s="1"/>
  <c r="N22" i="26"/>
  <c r="P22" i="26" s="1"/>
  <c r="N24" i="26"/>
  <c r="P24" i="26" s="1"/>
  <c r="N25" i="26"/>
  <c r="P25" i="26" s="1"/>
  <c r="N26" i="26"/>
  <c r="P26" i="26" s="1"/>
  <c r="N27" i="26"/>
  <c r="P27" i="26" s="1"/>
  <c r="N28" i="26"/>
  <c r="N29" i="26"/>
  <c r="P29" i="26" s="1"/>
  <c r="N30" i="26"/>
  <c r="P30" i="26" s="1"/>
  <c r="N32" i="26"/>
  <c r="P32" i="26" s="1"/>
  <c r="N33" i="26"/>
  <c r="P33" i="26" s="1"/>
  <c r="N34" i="26"/>
  <c r="P34" i="26" s="1"/>
  <c r="N35" i="26"/>
  <c r="P35" i="26" s="1"/>
  <c r="N37" i="26"/>
  <c r="P37" i="26" s="1"/>
  <c r="N38" i="26"/>
  <c r="P38" i="26" s="1"/>
  <c r="N40" i="26"/>
  <c r="N41" i="26"/>
  <c r="N42" i="26"/>
  <c r="N43" i="26"/>
  <c r="N44" i="26"/>
  <c r="P44" i="26" s="1"/>
  <c r="N45" i="26"/>
  <c r="N47" i="26"/>
  <c r="N48" i="26"/>
  <c r="N49" i="26"/>
  <c r="N50" i="26"/>
  <c r="N51" i="26"/>
  <c r="N53" i="26"/>
  <c r="P53" i="26" s="1"/>
  <c r="N54" i="26"/>
  <c r="P54" i="26" s="1"/>
  <c r="N55" i="26"/>
  <c r="N56" i="26"/>
  <c r="N57" i="26"/>
  <c r="N58" i="26"/>
  <c r="N59" i="26"/>
  <c r="N60" i="26"/>
  <c r="P60" i="26" s="1"/>
  <c r="N61" i="26"/>
  <c r="N62" i="26"/>
  <c r="N63" i="26"/>
  <c r="N64" i="26"/>
  <c r="N65" i="26"/>
  <c r="N66" i="26"/>
  <c r="N67" i="26"/>
  <c r="N68" i="26"/>
  <c r="N69" i="26"/>
  <c r="N70" i="26"/>
  <c r="P70" i="26" s="1"/>
  <c r="N72" i="26"/>
  <c r="N73" i="26"/>
  <c r="N75" i="26"/>
  <c r="P75" i="26" s="1"/>
  <c r="N76" i="26"/>
  <c r="N77" i="26"/>
  <c r="P77" i="26" s="1"/>
  <c r="N79" i="26"/>
  <c r="P79" i="26" s="1"/>
  <c r="P78" i="26" s="1"/>
  <c r="N15" i="26"/>
  <c r="P15" i="26" s="1"/>
  <c r="M16" i="26"/>
  <c r="M17" i="26"/>
  <c r="M18" i="26"/>
  <c r="M19" i="26"/>
  <c r="M20" i="26"/>
  <c r="M21" i="26"/>
  <c r="M22" i="26"/>
  <c r="M23" i="26"/>
  <c r="M24" i="26"/>
  <c r="M25" i="26"/>
  <c r="M26" i="26"/>
  <c r="M27" i="26"/>
  <c r="M28" i="26"/>
  <c r="M29" i="26"/>
  <c r="M30" i="26"/>
  <c r="M31" i="26"/>
  <c r="M32" i="26"/>
  <c r="M33" i="26"/>
  <c r="M34" i="26"/>
  <c r="M35" i="26"/>
  <c r="M37" i="26"/>
  <c r="M38" i="26"/>
  <c r="M40" i="26"/>
  <c r="M41" i="26"/>
  <c r="M42" i="26"/>
  <c r="M43" i="26"/>
  <c r="M44" i="26"/>
  <c r="M39" i="26" s="1"/>
  <c r="M45" i="26"/>
  <c r="M47" i="26"/>
  <c r="M48" i="26"/>
  <c r="M49" i="26"/>
  <c r="M50" i="26"/>
  <c r="M51" i="26"/>
  <c r="M53" i="26"/>
  <c r="M54" i="26"/>
  <c r="M55" i="26"/>
  <c r="M56" i="26"/>
  <c r="M57" i="26"/>
  <c r="M58" i="26"/>
  <c r="M59" i="26"/>
  <c r="M60" i="26"/>
  <c r="M52" i="26" s="1"/>
  <c r="M61" i="26"/>
  <c r="M62" i="26"/>
  <c r="M63" i="26"/>
  <c r="M64" i="26"/>
  <c r="M65" i="26"/>
  <c r="M66" i="26"/>
  <c r="M67" i="26"/>
  <c r="M68" i="26"/>
  <c r="M69" i="26"/>
  <c r="M70" i="26"/>
  <c r="M72" i="26"/>
  <c r="M73" i="26"/>
  <c r="M75" i="26"/>
  <c r="M76" i="26"/>
  <c r="M77" i="26"/>
  <c r="M79" i="26"/>
  <c r="L16" i="26"/>
  <c r="L17" i="26"/>
  <c r="L18" i="26"/>
  <c r="L19" i="26"/>
  <c r="L20" i="26"/>
  <c r="L21" i="26"/>
  <c r="L22" i="26"/>
  <c r="L23" i="26"/>
  <c r="L24" i="26"/>
  <c r="L25" i="26"/>
  <c r="L26" i="26"/>
  <c r="L27" i="26"/>
  <c r="L28" i="26"/>
  <c r="L29" i="26"/>
  <c r="L30" i="26"/>
  <c r="L31" i="26"/>
  <c r="L32" i="26"/>
  <c r="L33" i="26"/>
  <c r="L34" i="26"/>
  <c r="L35" i="26"/>
  <c r="L37" i="26"/>
  <c r="L38" i="26"/>
  <c r="L40" i="26"/>
  <c r="L41" i="26"/>
  <c r="L42" i="26"/>
  <c r="L43" i="26"/>
  <c r="L44" i="26"/>
  <c r="L45" i="26"/>
  <c r="L47" i="26"/>
  <c r="L48" i="26"/>
  <c r="L49" i="26"/>
  <c r="L50" i="26"/>
  <c r="L51" i="26"/>
  <c r="L53" i="26"/>
  <c r="L54" i="26"/>
  <c r="L55" i="26"/>
  <c r="L56" i="26"/>
  <c r="L57" i="26"/>
  <c r="L58" i="26"/>
  <c r="L59" i="26"/>
  <c r="L60" i="26"/>
  <c r="L61" i="26"/>
  <c r="L62" i="26"/>
  <c r="L63" i="26"/>
  <c r="L64" i="26"/>
  <c r="L65" i="26"/>
  <c r="L66" i="26"/>
  <c r="L67" i="26"/>
  <c r="L68" i="26"/>
  <c r="L69" i="26"/>
  <c r="L70" i="26"/>
  <c r="L72" i="26"/>
  <c r="L73" i="26"/>
  <c r="L75" i="26"/>
  <c r="L76" i="26"/>
  <c r="L77" i="26"/>
  <c r="L79" i="26"/>
  <c r="M15" i="26"/>
  <c r="L15" i="26"/>
  <c r="M52" i="25"/>
  <c r="P52" i="25"/>
  <c r="P82" i="25"/>
  <c r="M82" i="25"/>
  <c r="P41" i="25"/>
  <c r="P42" i="25"/>
  <c r="P44" i="25"/>
  <c r="P45" i="25"/>
  <c r="P46" i="25"/>
  <c r="P47" i="25"/>
  <c r="P48" i="25"/>
  <c r="P49" i="25"/>
  <c r="P50" i="25"/>
  <c r="P51" i="25"/>
  <c r="P53" i="25"/>
  <c r="P54" i="25"/>
  <c r="P55" i="25"/>
  <c r="P56" i="25"/>
  <c r="P57" i="25"/>
  <c r="P58" i="25"/>
  <c r="P59" i="25"/>
  <c r="P60" i="25"/>
  <c r="P64" i="25"/>
  <c r="P65" i="25"/>
  <c r="P66" i="25"/>
  <c r="P67" i="25"/>
  <c r="P68" i="25"/>
  <c r="P69" i="25"/>
  <c r="P70" i="25"/>
  <c r="P71" i="25"/>
  <c r="P72" i="25"/>
  <c r="P73" i="25"/>
  <c r="P74" i="25"/>
  <c r="P75" i="25"/>
  <c r="P76" i="25"/>
  <c r="P77" i="25"/>
  <c r="P78" i="25"/>
  <c r="P79" i="25"/>
  <c r="P80" i="25"/>
  <c r="P83" i="25"/>
  <c r="P84" i="25"/>
  <c r="P87" i="25"/>
  <c r="P90" i="25"/>
  <c r="P89" i="25" s="1"/>
  <c r="O16" i="25"/>
  <c r="O17" i="25"/>
  <c r="O18" i="25"/>
  <c r="O19" i="25"/>
  <c r="O20" i="25"/>
  <c r="O21" i="25"/>
  <c r="O22" i="25"/>
  <c r="O23" i="25"/>
  <c r="O24" i="25"/>
  <c r="O25" i="25"/>
  <c r="O26" i="25"/>
  <c r="O27" i="25"/>
  <c r="O28" i="25"/>
  <c r="O29" i="25"/>
  <c r="O30" i="25"/>
  <c r="O31" i="25"/>
  <c r="O32" i="25"/>
  <c r="O33" i="25"/>
  <c r="O34" i="25"/>
  <c r="O35" i="25"/>
  <c r="O36" i="25"/>
  <c r="O37" i="25"/>
  <c r="O38" i="25"/>
  <c r="O39" i="25"/>
  <c r="O41" i="25"/>
  <c r="O42" i="25"/>
  <c r="O44" i="25"/>
  <c r="O45" i="25"/>
  <c r="O46" i="25"/>
  <c r="O47" i="25"/>
  <c r="O48" i="25"/>
  <c r="O49" i="25"/>
  <c r="O50" i="25"/>
  <c r="O51" i="25"/>
  <c r="O53" i="25"/>
  <c r="O54" i="25"/>
  <c r="O55" i="25"/>
  <c r="O56" i="25"/>
  <c r="O57" i="25"/>
  <c r="O58" i="25"/>
  <c r="O59" i="25"/>
  <c r="O60" i="25"/>
  <c r="O62" i="25"/>
  <c r="O63" i="25"/>
  <c r="O64" i="25"/>
  <c r="O65" i="25"/>
  <c r="O66" i="25"/>
  <c r="O67" i="25"/>
  <c r="O68" i="25"/>
  <c r="O69" i="25"/>
  <c r="O70" i="25"/>
  <c r="O71" i="25"/>
  <c r="O72" i="25"/>
  <c r="O73" i="25"/>
  <c r="O74" i="25"/>
  <c r="O75" i="25"/>
  <c r="O76" i="25"/>
  <c r="O77" i="25"/>
  <c r="O78" i="25"/>
  <c r="O79" i="25"/>
  <c r="O80" i="25"/>
  <c r="O81" i="25"/>
  <c r="O83" i="25"/>
  <c r="O84" i="25"/>
  <c r="O86" i="25"/>
  <c r="O87" i="25"/>
  <c r="O88" i="25"/>
  <c r="O90" i="25"/>
  <c r="O15" i="25"/>
  <c r="N16" i="25"/>
  <c r="P16" i="25" s="1"/>
  <c r="N17" i="25"/>
  <c r="P17" i="25" s="1"/>
  <c r="N18" i="25"/>
  <c r="P18" i="25" s="1"/>
  <c r="N19" i="25"/>
  <c r="P19" i="25" s="1"/>
  <c r="N20" i="25"/>
  <c r="P20" i="25" s="1"/>
  <c r="N21" i="25"/>
  <c r="P21" i="25" s="1"/>
  <c r="N22" i="25"/>
  <c r="P22" i="25" s="1"/>
  <c r="N24" i="25"/>
  <c r="P24" i="25" s="1"/>
  <c r="N25" i="25"/>
  <c r="P25" i="25" s="1"/>
  <c r="N26" i="25"/>
  <c r="P26" i="25" s="1"/>
  <c r="N27" i="25"/>
  <c r="P27" i="25" s="1"/>
  <c r="N28" i="25"/>
  <c r="P28" i="25" s="1"/>
  <c r="N29" i="25"/>
  <c r="P29" i="25" s="1"/>
  <c r="N30" i="25"/>
  <c r="P30" i="25" s="1"/>
  <c r="N32" i="25"/>
  <c r="P32" i="25" s="1"/>
  <c r="N33" i="25"/>
  <c r="P33" i="25" s="1"/>
  <c r="N34" i="25"/>
  <c r="P34" i="25" s="1"/>
  <c r="N35" i="25"/>
  <c r="P35" i="25" s="1"/>
  <c r="N36" i="25"/>
  <c r="P36" i="25" s="1"/>
  <c r="N37" i="25"/>
  <c r="P37" i="25" s="1"/>
  <c r="N38" i="25"/>
  <c r="P38" i="25" s="1"/>
  <c r="N41" i="25"/>
  <c r="N42" i="25"/>
  <c r="N44" i="25"/>
  <c r="N45" i="25"/>
  <c r="N46" i="25"/>
  <c r="N47" i="25"/>
  <c r="N48" i="25"/>
  <c r="N49" i="25"/>
  <c r="N50" i="25"/>
  <c r="N51" i="25"/>
  <c r="N53" i="25"/>
  <c r="N54" i="25"/>
  <c r="N55" i="25"/>
  <c r="N56" i="25"/>
  <c r="N57" i="25"/>
  <c r="N58" i="25"/>
  <c r="N59" i="25"/>
  <c r="N60" i="25"/>
  <c r="N62" i="25"/>
  <c r="P62" i="25" s="1"/>
  <c r="N63" i="25"/>
  <c r="P63" i="25" s="1"/>
  <c r="N64" i="25"/>
  <c r="N65" i="25"/>
  <c r="N66" i="25"/>
  <c r="N67" i="25"/>
  <c r="N68" i="25"/>
  <c r="N69" i="25"/>
  <c r="N70" i="25"/>
  <c r="N71" i="25"/>
  <c r="N72" i="25"/>
  <c r="N73" i="25"/>
  <c r="N74" i="25"/>
  <c r="N75" i="25"/>
  <c r="N76" i="25"/>
  <c r="N77" i="25"/>
  <c r="N78" i="25"/>
  <c r="N79" i="25"/>
  <c r="N80" i="25"/>
  <c r="N81" i="25"/>
  <c r="P81" i="25" s="1"/>
  <c r="N83" i="25"/>
  <c r="N84" i="25"/>
  <c r="N86" i="25"/>
  <c r="P86" i="25" s="1"/>
  <c r="N87" i="25"/>
  <c r="N88" i="25"/>
  <c r="P88" i="25" s="1"/>
  <c r="N90" i="25"/>
  <c r="N15" i="25"/>
  <c r="P15" i="25" s="1"/>
  <c r="M16" i="25"/>
  <c r="M17" i="25"/>
  <c r="M18" i="25"/>
  <c r="M19" i="25"/>
  <c r="M20" i="25"/>
  <c r="M21" i="25"/>
  <c r="M22" i="25"/>
  <c r="M24" i="25"/>
  <c r="M25" i="25"/>
  <c r="M26" i="25"/>
  <c r="M27" i="25"/>
  <c r="M28" i="25"/>
  <c r="M29" i="25"/>
  <c r="M30" i="25"/>
  <c r="M32" i="25"/>
  <c r="M33" i="25"/>
  <c r="M34" i="25"/>
  <c r="M35" i="25"/>
  <c r="M36" i="25"/>
  <c r="M37" i="25"/>
  <c r="M38" i="25"/>
  <c r="M41" i="25"/>
  <c r="M42" i="25"/>
  <c r="M44" i="25"/>
  <c r="M45" i="25"/>
  <c r="M46" i="25"/>
  <c r="M47" i="25"/>
  <c r="M48" i="25"/>
  <c r="M49" i="25"/>
  <c r="M50" i="25"/>
  <c r="M51" i="25"/>
  <c r="M53" i="25"/>
  <c r="M54" i="25"/>
  <c r="M55" i="25"/>
  <c r="M56" i="25"/>
  <c r="M57" i="25"/>
  <c r="M58" i="25"/>
  <c r="M59" i="25"/>
  <c r="M60" i="25"/>
  <c r="M62" i="25"/>
  <c r="M63" i="25"/>
  <c r="M64" i="25"/>
  <c r="M65" i="25"/>
  <c r="M66" i="25"/>
  <c r="M67" i="25"/>
  <c r="M68" i="25"/>
  <c r="M69" i="25"/>
  <c r="M70" i="25"/>
  <c r="M71" i="25"/>
  <c r="M72" i="25"/>
  <c r="M73" i="25"/>
  <c r="M74" i="25"/>
  <c r="M75" i="25"/>
  <c r="M76" i="25"/>
  <c r="M77" i="25"/>
  <c r="M78" i="25"/>
  <c r="M79" i="25"/>
  <c r="M80" i="25"/>
  <c r="M81" i="25"/>
  <c r="M83" i="25"/>
  <c r="M84" i="25"/>
  <c r="M86" i="25"/>
  <c r="M87" i="25"/>
  <c r="M88" i="25"/>
  <c r="M90" i="25"/>
  <c r="M89" i="25" s="1"/>
  <c r="L16" i="25"/>
  <c r="L17" i="25"/>
  <c r="L18" i="25"/>
  <c r="L19" i="25"/>
  <c r="L20" i="25"/>
  <c r="L21" i="25"/>
  <c r="L22" i="25"/>
  <c r="L23" i="25"/>
  <c r="L24" i="25"/>
  <c r="L25" i="25"/>
  <c r="L26" i="25"/>
  <c r="L27" i="25"/>
  <c r="L28" i="25"/>
  <c r="L29" i="25"/>
  <c r="L30" i="25"/>
  <c r="L31" i="25"/>
  <c r="L32" i="25"/>
  <c r="L33" i="25"/>
  <c r="L34" i="25"/>
  <c r="L35" i="25"/>
  <c r="L36" i="25"/>
  <c r="L37" i="25"/>
  <c r="L38" i="25"/>
  <c r="L39" i="25"/>
  <c r="L41" i="25"/>
  <c r="L42" i="25"/>
  <c r="L44" i="25"/>
  <c r="L45" i="25"/>
  <c r="L46" i="25"/>
  <c r="L47" i="25"/>
  <c r="L48" i="25"/>
  <c r="L49" i="25"/>
  <c r="L50" i="25"/>
  <c r="L51" i="25"/>
  <c r="L53" i="25"/>
  <c r="L54" i="25"/>
  <c r="L55" i="25"/>
  <c r="L56" i="25"/>
  <c r="L57" i="25"/>
  <c r="L58" i="25"/>
  <c r="L59" i="25"/>
  <c r="L60" i="25"/>
  <c r="L62" i="25"/>
  <c r="L63" i="25"/>
  <c r="L64" i="25"/>
  <c r="L65" i="25"/>
  <c r="L66" i="25"/>
  <c r="L67" i="25"/>
  <c r="L68" i="25"/>
  <c r="L69" i="25"/>
  <c r="L70" i="25"/>
  <c r="L71" i="25"/>
  <c r="L72" i="25"/>
  <c r="L73" i="25"/>
  <c r="L74" i="25"/>
  <c r="L75" i="25"/>
  <c r="L76" i="25"/>
  <c r="L77" i="25"/>
  <c r="L78" i="25"/>
  <c r="L79" i="25"/>
  <c r="L80" i="25"/>
  <c r="L81" i="25"/>
  <c r="L83" i="25"/>
  <c r="L84" i="25"/>
  <c r="L86" i="25"/>
  <c r="L87" i="25"/>
  <c r="L88" i="25"/>
  <c r="L90" i="25"/>
  <c r="M15" i="25"/>
  <c r="L15" i="25"/>
  <c r="O16" i="24"/>
  <c r="O17" i="24"/>
  <c r="O18" i="24"/>
  <c r="O19" i="24"/>
  <c r="O20" i="24"/>
  <c r="O21" i="24"/>
  <c r="O22" i="24"/>
  <c r="O23" i="24"/>
  <c r="O24" i="24"/>
  <c r="O25" i="24"/>
  <c r="O26" i="24"/>
  <c r="O27" i="24"/>
  <c r="O28" i="24"/>
  <c r="O29" i="24"/>
  <c r="O30" i="24"/>
  <c r="O31" i="24"/>
  <c r="O32" i="24"/>
  <c r="O33" i="24"/>
  <c r="O34" i="24"/>
  <c r="O35" i="24"/>
  <c r="O36" i="24"/>
  <c r="O37" i="24"/>
  <c r="O38" i="24"/>
  <c r="O40" i="24"/>
  <c r="O41" i="24"/>
  <c r="O43" i="24"/>
  <c r="O44" i="24"/>
  <c r="O45" i="24"/>
  <c r="O46" i="24"/>
  <c r="O48" i="24"/>
  <c r="O49" i="24"/>
  <c r="O50" i="24"/>
  <c r="O51" i="24"/>
  <c r="O52" i="24"/>
  <c r="O54" i="24"/>
  <c r="O55" i="24"/>
  <c r="O56" i="24"/>
  <c r="O57" i="24"/>
  <c r="O58" i="24"/>
  <c r="O59" i="24"/>
  <c r="O60" i="24"/>
  <c r="O61" i="24"/>
  <c r="O62" i="24"/>
  <c r="O63" i="24"/>
  <c r="O64" i="24"/>
  <c r="O65" i="24"/>
  <c r="O66" i="24"/>
  <c r="O67" i="24"/>
  <c r="O68" i="24"/>
  <c r="O69" i="24"/>
  <c r="O70" i="24"/>
  <c r="O71" i="24"/>
  <c r="O73" i="24"/>
  <c r="O74" i="24"/>
  <c r="O76" i="24"/>
  <c r="O77" i="24"/>
  <c r="O78" i="24"/>
  <c r="O79" i="24"/>
  <c r="P51" i="24"/>
  <c r="P68" i="24"/>
  <c r="O15" i="24"/>
  <c r="N17" i="24"/>
  <c r="P17" i="24" s="1"/>
  <c r="N19" i="24"/>
  <c r="P19" i="24" s="1"/>
  <c r="N24" i="24"/>
  <c r="P24" i="24" s="1"/>
  <c r="N25" i="24"/>
  <c r="P25" i="24" s="1"/>
  <c r="N26" i="24"/>
  <c r="P26" i="24" s="1"/>
  <c r="N27" i="24"/>
  <c r="P27" i="24" s="1"/>
  <c r="N33" i="24"/>
  <c r="P33" i="24" s="1"/>
  <c r="N34" i="24"/>
  <c r="P34" i="24" s="1"/>
  <c r="N35" i="24"/>
  <c r="P35" i="24" s="1"/>
  <c r="N40" i="24"/>
  <c r="P40" i="24" s="1"/>
  <c r="N41" i="24"/>
  <c r="P41" i="24" s="1"/>
  <c r="N43" i="24"/>
  <c r="P43" i="24" s="1"/>
  <c r="N44" i="24"/>
  <c r="P44" i="24" s="1"/>
  <c r="N45" i="24"/>
  <c r="P45" i="24" s="1"/>
  <c r="N46" i="24"/>
  <c r="P46" i="24" s="1"/>
  <c r="N48" i="24"/>
  <c r="P48" i="24" s="1"/>
  <c r="N49" i="24"/>
  <c r="P49" i="24" s="1"/>
  <c r="N50" i="24"/>
  <c r="P50" i="24" s="1"/>
  <c r="N51" i="24"/>
  <c r="N52" i="24"/>
  <c r="P52" i="24" s="1"/>
  <c r="N54" i="24"/>
  <c r="P54" i="24" s="1"/>
  <c r="N55" i="24"/>
  <c r="P55" i="24" s="1"/>
  <c r="N56" i="24"/>
  <c r="P56" i="24" s="1"/>
  <c r="N57" i="24"/>
  <c r="P57" i="24" s="1"/>
  <c r="N58" i="24"/>
  <c r="P58" i="24" s="1"/>
  <c r="N59" i="24"/>
  <c r="P59" i="24" s="1"/>
  <c r="N60" i="24"/>
  <c r="P60" i="24" s="1"/>
  <c r="N61" i="24"/>
  <c r="P61" i="24" s="1"/>
  <c r="N62" i="24"/>
  <c r="P62" i="24" s="1"/>
  <c r="N63" i="24"/>
  <c r="P63" i="24" s="1"/>
  <c r="N64" i="24"/>
  <c r="P64" i="24" s="1"/>
  <c r="N65" i="24"/>
  <c r="P65" i="24" s="1"/>
  <c r="N66" i="24"/>
  <c r="P66" i="24" s="1"/>
  <c r="N67" i="24"/>
  <c r="P67" i="24" s="1"/>
  <c r="N68" i="24"/>
  <c r="N69" i="24"/>
  <c r="P69" i="24" s="1"/>
  <c r="N70" i="24"/>
  <c r="P70" i="24" s="1"/>
  <c r="N71" i="24"/>
  <c r="P71" i="24" s="1"/>
  <c r="N73" i="24"/>
  <c r="P73" i="24" s="1"/>
  <c r="P72" i="24" s="1"/>
  <c r="N74" i="24"/>
  <c r="P74" i="24" s="1"/>
  <c r="N76" i="24"/>
  <c r="P76" i="24" s="1"/>
  <c r="N77" i="24"/>
  <c r="P77" i="24" s="1"/>
  <c r="N78" i="24"/>
  <c r="N79" i="24"/>
  <c r="P79" i="24" s="1"/>
  <c r="P78" i="24" s="1"/>
  <c r="N15" i="24"/>
  <c r="P15" i="24" s="1"/>
  <c r="M18" i="24"/>
  <c r="M34" i="24"/>
  <c r="M44" i="24"/>
  <c r="M54" i="24"/>
  <c r="M62" i="24"/>
  <c r="M70" i="24"/>
  <c r="L16" i="24"/>
  <c r="L17" i="24"/>
  <c r="M17" i="24" s="1"/>
  <c r="L18" i="24"/>
  <c r="L19" i="24"/>
  <c r="M19" i="24" s="1"/>
  <c r="L20" i="24"/>
  <c r="L21" i="24"/>
  <c r="L22" i="24"/>
  <c r="L23" i="24"/>
  <c r="L24" i="24"/>
  <c r="L25" i="24"/>
  <c r="M25" i="24" s="1"/>
  <c r="L26" i="24"/>
  <c r="L27" i="24"/>
  <c r="M27" i="24" s="1"/>
  <c r="L28" i="24"/>
  <c r="L29" i="24"/>
  <c r="L30" i="24"/>
  <c r="L31" i="24"/>
  <c r="L32" i="24"/>
  <c r="L33" i="24"/>
  <c r="M33" i="24" s="1"/>
  <c r="L34" i="24"/>
  <c r="L35" i="24"/>
  <c r="M35" i="24" s="1"/>
  <c r="L36" i="24"/>
  <c r="L37" i="24"/>
  <c r="L38" i="24"/>
  <c r="L40" i="24"/>
  <c r="M40" i="24" s="1"/>
  <c r="M39" i="24" s="1"/>
  <c r="L41" i="24"/>
  <c r="M41" i="24" s="1"/>
  <c r="L43" i="24"/>
  <c r="M43" i="24" s="1"/>
  <c r="L44" i="24"/>
  <c r="L45" i="24"/>
  <c r="M45" i="24" s="1"/>
  <c r="L46" i="24"/>
  <c r="M46" i="24" s="1"/>
  <c r="L48" i="24"/>
  <c r="M48" i="24" s="1"/>
  <c r="M47" i="24" s="1"/>
  <c r="L49" i="24"/>
  <c r="M49" i="24" s="1"/>
  <c r="L50" i="24"/>
  <c r="M50" i="24" s="1"/>
  <c r="L51" i="24"/>
  <c r="M51" i="24" s="1"/>
  <c r="L52" i="24"/>
  <c r="M52" i="24" s="1"/>
  <c r="L54" i="24"/>
  <c r="L55" i="24"/>
  <c r="M55" i="24" s="1"/>
  <c r="L56" i="24"/>
  <c r="M56" i="24" s="1"/>
  <c r="L57" i="24"/>
  <c r="M57" i="24" s="1"/>
  <c r="L58" i="24"/>
  <c r="M58" i="24" s="1"/>
  <c r="L59" i="24"/>
  <c r="M59" i="24" s="1"/>
  <c r="L60" i="24"/>
  <c r="M60" i="24" s="1"/>
  <c r="L61" i="24"/>
  <c r="M61" i="24" s="1"/>
  <c r="L62" i="24"/>
  <c r="L63" i="24"/>
  <c r="M63" i="24" s="1"/>
  <c r="L64" i="24"/>
  <c r="M64" i="24" s="1"/>
  <c r="L65" i="24"/>
  <c r="M65" i="24" s="1"/>
  <c r="L66" i="24"/>
  <c r="M66" i="24" s="1"/>
  <c r="L67" i="24"/>
  <c r="M67" i="24" s="1"/>
  <c r="L68" i="24"/>
  <c r="M68" i="24" s="1"/>
  <c r="L69" i="24"/>
  <c r="M69" i="24" s="1"/>
  <c r="L70" i="24"/>
  <c r="L71" i="24"/>
  <c r="M71" i="24" s="1"/>
  <c r="L73" i="24"/>
  <c r="M73" i="24" s="1"/>
  <c r="L74" i="24"/>
  <c r="M74" i="24" s="1"/>
  <c r="L76" i="24"/>
  <c r="M76" i="24" s="1"/>
  <c r="L77" i="24"/>
  <c r="M77" i="24" s="1"/>
  <c r="L79" i="24"/>
  <c r="M79" i="24" s="1"/>
  <c r="M78" i="24" s="1"/>
  <c r="M15" i="24"/>
  <c r="L15" i="24"/>
  <c r="P87" i="23"/>
  <c r="M87" i="23"/>
  <c r="P53" i="23"/>
  <c r="M53" i="23"/>
  <c r="P16" i="23"/>
  <c r="P44" i="23"/>
  <c r="P45" i="23"/>
  <c r="P46" i="23"/>
  <c r="P47" i="23"/>
  <c r="P48" i="23"/>
  <c r="P49" i="23"/>
  <c r="P50" i="23"/>
  <c r="P54" i="23"/>
  <c r="P55" i="23"/>
  <c r="P56" i="23"/>
  <c r="P57" i="23"/>
  <c r="P58" i="23"/>
  <c r="P59" i="23"/>
  <c r="P60" i="23"/>
  <c r="P61" i="23"/>
  <c r="P65" i="23"/>
  <c r="P66" i="23"/>
  <c r="P67" i="23"/>
  <c r="P68" i="23"/>
  <c r="P69" i="23"/>
  <c r="P70" i="23"/>
  <c r="P72" i="23"/>
  <c r="P73" i="23"/>
  <c r="P74" i="23"/>
  <c r="P75" i="23"/>
  <c r="P76" i="23"/>
  <c r="P77" i="23"/>
  <c r="P78" i="23"/>
  <c r="P79" i="23"/>
  <c r="P80" i="23"/>
  <c r="P81" i="23"/>
  <c r="P83" i="23"/>
  <c r="P84" i="23"/>
  <c r="P86" i="23"/>
  <c r="P88" i="23"/>
  <c r="P89" i="23"/>
  <c r="P90" i="23"/>
  <c r="P91" i="23"/>
  <c r="P94" i="23"/>
  <c r="P97" i="23"/>
  <c r="P96" i="23" s="1"/>
  <c r="O16" i="23"/>
  <c r="O17" i="23"/>
  <c r="O18" i="23"/>
  <c r="O19" i="23"/>
  <c r="O20" i="23"/>
  <c r="O21" i="23"/>
  <c r="O22" i="23"/>
  <c r="O23" i="23"/>
  <c r="O24" i="23"/>
  <c r="O25" i="23"/>
  <c r="O26" i="23"/>
  <c r="O27" i="23"/>
  <c r="O28" i="23"/>
  <c r="O29" i="23"/>
  <c r="O30" i="23"/>
  <c r="O31" i="23"/>
  <c r="O32" i="23"/>
  <c r="O33" i="23"/>
  <c r="O34" i="23"/>
  <c r="O35" i="23"/>
  <c r="O36" i="23"/>
  <c r="O37" i="23"/>
  <c r="O38" i="23"/>
  <c r="O39" i="23"/>
  <c r="O41" i="23"/>
  <c r="O42" i="23"/>
  <c r="O44" i="23"/>
  <c r="O45" i="23"/>
  <c r="O46" i="23"/>
  <c r="O47" i="23"/>
  <c r="O48" i="23"/>
  <c r="O49" i="23"/>
  <c r="O50" i="23"/>
  <c r="O51" i="23"/>
  <c r="O52" i="23"/>
  <c r="O54" i="23"/>
  <c r="O55" i="23"/>
  <c r="O56" i="23"/>
  <c r="O57" i="23"/>
  <c r="O58" i="23"/>
  <c r="O59" i="23"/>
  <c r="O60" i="23"/>
  <c r="O61" i="23"/>
  <c r="O63" i="23"/>
  <c r="O64" i="23"/>
  <c r="O65" i="23"/>
  <c r="O66" i="23"/>
  <c r="O67" i="23"/>
  <c r="O68" i="23"/>
  <c r="O69" i="23"/>
  <c r="O70" i="23"/>
  <c r="O71" i="23"/>
  <c r="O72" i="23"/>
  <c r="O73" i="23"/>
  <c r="O74" i="23"/>
  <c r="O75" i="23"/>
  <c r="O76" i="23"/>
  <c r="O77" i="23"/>
  <c r="O78" i="23"/>
  <c r="O79" i="23"/>
  <c r="O80" i="23"/>
  <c r="O81" i="23"/>
  <c r="O82" i="23"/>
  <c r="O83" i="23"/>
  <c r="O84" i="23"/>
  <c r="O85" i="23"/>
  <c r="O86" i="23"/>
  <c r="O88" i="23"/>
  <c r="O89" i="23"/>
  <c r="O90" i="23"/>
  <c r="O91" i="23"/>
  <c r="O93" i="23"/>
  <c r="O94" i="23"/>
  <c r="O95" i="23"/>
  <c r="O97" i="23"/>
  <c r="O15" i="23"/>
  <c r="N16" i="23"/>
  <c r="N17" i="23"/>
  <c r="P17" i="23" s="1"/>
  <c r="N18" i="23"/>
  <c r="P18" i="23" s="1"/>
  <c r="N19" i="23"/>
  <c r="P19" i="23" s="1"/>
  <c r="N20" i="23"/>
  <c r="P20" i="23" s="1"/>
  <c r="N21" i="23"/>
  <c r="P21" i="23" s="1"/>
  <c r="N22" i="23"/>
  <c r="P22" i="23" s="1"/>
  <c r="N24" i="23"/>
  <c r="P24" i="23" s="1"/>
  <c r="N25" i="23"/>
  <c r="P25" i="23" s="1"/>
  <c r="N26" i="23"/>
  <c r="P26" i="23" s="1"/>
  <c r="N27" i="23"/>
  <c r="P27" i="23" s="1"/>
  <c r="N28" i="23"/>
  <c r="P28" i="23" s="1"/>
  <c r="N29" i="23"/>
  <c r="P29" i="23" s="1"/>
  <c r="N32" i="23"/>
  <c r="P32" i="23" s="1"/>
  <c r="N33" i="23"/>
  <c r="P33" i="23" s="1"/>
  <c r="N34" i="23"/>
  <c r="P34" i="23" s="1"/>
  <c r="N35" i="23"/>
  <c r="P35" i="23" s="1"/>
  <c r="N36" i="23"/>
  <c r="P36" i="23" s="1"/>
  <c r="N37" i="23"/>
  <c r="P37" i="23" s="1"/>
  <c r="N41" i="23"/>
  <c r="P41" i="23" s="1"/>
  <c r="N42" i="23"/>
  <c r="P42" i="23" s="1"/>
  <c r="N44" i="23"/>
  <c r="N45" i="23"/>
  <c r="N46" i="23"/>
  <c r="N47" i="23"/>
  <c r="N48" i="23"/>
  <c r="N49" i="23"/>
  <c r="N50" i="23"/>
  <c r="N51" i="23"/>
  <c r="P51" i="23" s="1"/>
  <c r="N52" i="23"/>
  <c r="P52" i="23" s="1"/>
  <c r="N54" i="23"/>
  <c r="N55" i="23"/>
  <c r="N56" i="23"/>
  <c r="N57" i="23"/>
  <c r="N58" i="23"/>
  <c r="N59" i="23"/>
  <c r="N60" i="23"/>
  <c r="N61" i="23"/>
  <c r="N63" i="23"/>
  <c r="P63" i="23" s="1"/>
  <c r="N64" i="23"/>
  <c r="P64" i="23" s="1"/>
  <c r="N65" i="23"/>
  <c r="N66" i="23"/>
  <c r="N67" i="23"/>
  <c r="N68" i="23"/>
  <c r="N69" i="23"/>
  <c r="N70" i="23"/>
  <c r="N71" i="23"/>
  <c r="P71" i="23" s="1"/>
  <c r="N72" i="23"/>
  <c r="N73" i="23"/>
  <c r="N74" i="23"/>
  <c r="N75" i="23"/>
  <c r="N76" i="23"/>
  <c r="N77" i="23"/>
  <c r="N78" i="23"/>
  <c r="N79" i="23"/>
  <c r="N80" i="23"/>
  <c r="N81" i="23"/>
  <c r="N82" i="23"/>
  <c r="P82" i="23" s="1"/>
  <c r="N83" i="23"/>
  <c r="N84" i="23"/>
  <c r="N85" i="23"/>
  <c r="P85" i="23" s="1"/>
  <c r="N86" i="23"/>
  <c r="N88" i="23"/>
  <c r="N89" i="23"/>
  <c r="N90" i="23"/>
  <c r="N91" i="23"/>
  <c r="N93" i="23"/>
  <c r="P93" i="23" s="1"/>
  <c r="N94" i="23"/>
  <c r="N95" i="23"/>
  <c r="P95" i="23" s="1"/>
  <c r="N97" i="23"/>
  <c r="N15" i="23"/>
  <c r="P15" i="23" s="1"/>
  <c r="M16" i="23"/>
  <c r="M17" i="23"/>
  <c r="M18" i="23"/>
  <c r="M19" i="23"/>
  <c r="M20" i="23"/>
  <c r="M21" i="23"/>
  <c r="M24" i="23"/>
  <c r="M25" i="23"/>
  <c r="M26" i="23"/>
  <c r="M27" i="23"/>
  <c r="M28" i="23"/>
  <c r="M29" i="23"/>
  <c r="M32" i="23"/>
  <c r="M33" i="23"/>
  <c r="M34" i="23"/>
  <c r="M35" i="23"/>
  <c r="M36" i="23"/>
  <c r="M37" i="23"/>
  <c r="M38" i="23"/>
  <c r="M41" i="23"/>
  <c r="M42" i="23"/>
  <c r="M44" i="23"/>
  <c r="M45" i="23"/>
  <c r="M46" i="23"/>
  <c r="M47" i="23"/>
  <c r="M48" i="23"/>
  <c r="M49" i="23"/>
  <c r="M50" i="23"/>
  <c r="M51" i="23"/>
  <c r="M52" i="23"/>
  <c r="M54" i="23"/>
  <c r="M55" i="23"/>
  <c r="M56" i="23"/>
  <c r="M57" i="23"/>
  <c r="M58" i="23"/>
  <c r="M59" i="23"/>
  <c r="M60" i="23"/>
  <c r="M61" i="23"/>
  <c r="M63" i="23"/>
  <c r="M64" i="23"/>
  <c r="M65" i="23"/>
  <c r="M66" i="23"/>
  <c r="M67" i="23"/>
  <c r="M68" i="23"/>
  <c r="M69" i="23"/>
  <c r="M70" i="23"/>
  <c r="M71" i="23"/>
  <c r="M72" i="23"/>
  <c r="M73" i="23"/>
  <c r="M74" i="23"/>
  <c r="M75" i="23"/>
  <c r="M76" i="23"/>
  <c r="M77" i="23"/>
  <c r="M78" i="23"/>
  <c r="M79" i="23"/>
  <c r="M80" i="23"/>
  <c r="M81" i="23"/>
  <c r="M82" i="23"/>
  <c r="M83" i="23"/>
  <c r="M84" i="23"/>
  <c r="M85" i="23"/>
  <c r="M86" i="23"/>
  <c r="M88" i="23"/>
  <c r="M89" i="23"/>
  <c r="M90" i="23"/>
  <c r="M91" i="23"/>
  <c r="M93" i="23"/>
  <c r="M94" i="23"/>
  <c r="M95" i="23"/>
  <c r="M97" i="23"/>
  <c r="M96" i="23" s="1"/>
  <c r="L16" i="23"/>
  <c r="L17" i="23"/>
  <c r="L18" i="23"/>
  <c r="L19" i="23"/>
  <c r="L20" i="23"/>
  <c r="L21" i="23"/>
  <c r="L22" i="23"/>
  <c r="L23" i="23"/>
  <c r="L24" i="23"/>
  <c r="L25" i="23"/>
  <c r="L26" i="23"/>
  <c r="L27" i="23"/>
  <c r="L28" i="23"/>
  <c r="L29" i="23"/>
  <c r="L30" i="23"/>
  <c r="L31" i="23"/>
  <c r="L32" i="23"/>
  <c r="L33" i="23"/>
  <c r="L34" i="23"/>
  <c r="L35" i="23"/>
  <c r="L36" i="23"/>
  <c r="L37" i="23"/>
  <c r="L38" i="23"/>
  <c r="L39" i="23"/>
  <c r="L41" i="23"/>
  <c r="L42" i="23"/>
  <c r="L44" i="23"/>
  <c r="L45" i="23"/>
  <c r="L46" i="23"/>
  <c r="L47" i="23"/>
  <c r="L48" i="23"/>
  <c r="L49" i="23"/>
  <c r="L50" i="23"/>
  <c r="L51" i="23"/>
  <c r="L52" i="23"/>
  <c r="L54" i="23"/>
  <c r="L55" i="23"/>
  <c r="L56" i="23"/>
  <c r="L57" i="23"/>
  <c r="L58" i="23"/>
  <c r="L59" i="23"/>
  <c r="L60" i="23"/>
  <c r="L61" i="23"/>
  <c r="L63" i="23"/>
  <c r="L64" i="23"/>
  <c r="L65" i="23"/>
  <c r="L66" i="23"/>
  <c r="L67" i="23"/>
  <c r="L68" i="23"/>
  <c r="L69" i="23"/>
  <c r="L70" i="23"/>
  <c r="L71" i="23"/>
  <c r="L72" i="23"/>
  <c r="L73" i="23"/>
  <c r="L74" i="23"/>
  <c r="L75" i="23"/>
  <c r="L76" i="23"/>
  <c r="L77" i="23"/>
  <c r="L78" i="23"/>
  <c r="L79" i="23"/>
  <c r="L80" i="23"/>
  <c r="L81" i="23"/>
  <c r="L82" i="23"/>
  <c r="L83" i="23"/>
  <c r="L84" i="23"/>
  <c r="L85" i="23"/>
  <c r="L86" i="23"/>
  <c r="L88" i="23"/>
  <c r="L89" i="23"/>
  <c r="L90" i="23"/>
  <c r="L91" i="23"/>
  <c r="L93" i="23"/>
  <c r="L94" i="23"/>
  <c r="L95" i="23"/>
  <c r="L97" i="23"/>
  <c r="M15" i="23"/>
  <c r="L15" i="23"/>
  <c r="P49" i="22"/>
  <c r="P58" i="22"/>
  <c r="P66" i="22"/>
  <c r="P7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8" i="22"/>
  <c r="O39" i="22"/>
  <c r="O41" i="22"/>
  <c r="O42" i="22"/>
  <c r="O43" i="22"/>
  <c r="O44" i="22"/>
  <c r="O45" i="22"/>
  <c r="O46" i="22"/>
  <c r="O48" i="22"/>
  <c r="O49" i="22"/>
  <c r="O50" i="22"/>
  <c r="O51" i="22"/>
  <c r="O52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5" i="22"/>
  <c r="O76" i="22"/>
  <c r="O78" i="22"/>
  <c r="O79" i="22"/>
  <c r="O80" i="22"/>
  <c r="O82" i="22"/>
  <c r="O15" i="22"/>
  <c r="N16" i="22"/>
  <c r="P16" i="22" s="1"/>
  <c r="N18" i="22"/>
  <c r="P18" i="22" s="1"/>
  <c r="N21" i="22"/>
  <c r="P21" i="22" s="1"/>
  <c r="N22" i="22"/>
  <c r="P22" i="22" s="1"/>
  <c r="N24" i="22"/>
  <c r="P24" i="22" s="1"/>
  <c r="N26" i="22"/>
  <c r="P26" i="22" s="1"/>
  <c r="N29" i="22"/>
  <c r="P29" i="22" s="1"/>
  <c r="N30" i="22"/>
  <c r="P30" i="22" s="1"/>
  <c r="N32" i="22"/>
  <c r="P32" i="22" s="1"/>
  <c r="N34" i="22"/>
  <c r="P34" i="22" s="1"/>
  <c r="N36" i="22"/>
  <c r="P36" i="22" s="1"/>
  <c r="N38" i="22"/>
  <c r="P38" i="22" s="1"/>
  <c r="N42" i="22"/>
  <c r="P42" i="22" s="1"/>
  <c r="N45" i="22"/>
  <c r="P45" i="22" s="1"/>
  <c r="N46" i="22"/>
  <c r="P46" i="22" s="1"/>
  <c r="N48" i="22"/>
  <c r="P48" i="22" s="1"/>
  <c r="N49" i="22"/>
  <c r="N50" i="22"/>
  <c r="P50" i="22" s="1"/>
  <c r="N51" i="22"/>
  <c r="P51" i="22" s="1"/>
  <c r="N52" i="22"/>
  <c r="P52" i="22" s="1"/>
  <c r="N54" i="22"/>
  <c r="P54" i="22" s="1"/>
  <c r="N55" i="22"/>
  <c r="P55" i="22" s="1"/>
  <c r="N56" i="22"/>
  <c r="P56" i="22" s="1"/>
  <c r="N57" i="22"/>
  <c r="P57" i="22" s="1"/>
  <c r="N58" i="22"/>
  <c r="N59" i="22"/>
  <c r="P59" i="22" s="1"/>
  <c r="N60" i="22"/>
  <c r="P60" i="22" s="1"/>
  <c r="N61" i="22"/>
  <c r="P61" i="22" s="1"/>
  <c r="N62" i="22"/>
  <c r="P62" i="22" s="1"/>
  <c r="N63" i="22"/>
  <c r="P63" i="22" s="1"/>
  <c r="N64" i="22"/>
  <c r="P64" i="22" s="1"/>
  <c r="N65" i="22"/>
  <c r="P65" i="22" s="1"/>
  <c r="N66" i="22"/>
  <c r="N67" i="22"/>
  <c r="P67" i="22" s="1"/>
  <c r="N68" i="22"/>
  <c r="P68" i="22" s="1"/>
  <c r="N69" i="22"/>
  <c r="P69" i="22" s="1"/>
  <c r="N70" i="22"/>
  <c r="P70" i="22" s="1"/>
  <c r="N71" i="22"/>
  <c r="P71" i="22" s="1"/>
  <c r="N72" i="22"/>
  <c r="P72" i="22" s="1"/>
  <c r="N73" i="22"/>
  <c r="P73" i="22" s="1"/>
  <c r="N75" i="22"/>
  <c r="N76" i="22"/>
  <c r="P76" i="22" s="1"/>
  <c r="N78" i="22"/>
  <c r="P78" i="22" s="1"/>
  <c r="P77" i="22" s="1"/>
  <c r="N79" i="22"/>
  <c r="P79" i="22" s="1"/>
  <c r="N80" i="22"/>
  <c r="P80" i="22" s="1"/>
  <c r="N82" i="22"/>
  <c r="P82" i="22" s="1"/>
  <c r="P81" i="22" s="1"/>
  <c r="M16" i="22"/>
  <c r="M24" i="22"/>
  <c r="M32" i="22"/>
  <c r="M42" i="22"/>
  <c r="M51" i="22"/>
  <c r="M60" i="22"/>
  <c r="M68" i="22"/>
  <c r="M78" i="22"/>
  <c r="M77" i="22" s="1"/>
  <c r="L16" i="22"/>
  <c r="L17" i="22"/>
  <c r="L18" i="22"/>
  <c r="M18" i="22" s="1"/>
  <c r="L19" i="22"/>
  <c r="L20" i="22"/>
  <c r="L21" i="22"/>
  <c r="M21" i="22" s="1"/>
  <c r="L22" i="22"/>
  <c r="M22" i="22" s="1"/>
  <c r="L23" i="22"/>
  <c r="L24" i="22"/>
  <c r="L25" i="22"/>
  <c r="L26" i="22"/>
  <c r="M26" i="22" s="1"/>
  <c r="L27" i="22"/>
  <c r="L28" i="22"/>
  <c r="L29" i="22"/>
  <c r="M29" i="22" s="1"/>
  <c r="L30" i="22"/>
  <c r="M30" i="22" s="1"/>
  <c r="L31" i="22"/>
  <c r="L32" i="22"/>
  <c r="L33" i="22"/>
  <c r="L34" i="22"/>
  <c r="M34" i="22" s="1"/>
  <c r="L35" i="22"/>
  <c r="L36" i="22"/>
  <c r="L38" i="22"/>
  <c r="M38" i="22" s="1"/>
  <c r="L39" i="22"/>
  <c r="L41" i="22"/>
  <c r="L42" i="22"/>
  <c r="L43" i="22"/>
  <c r="L44" i="22"/>
  <c r="L45" i="22"/>
  <c r="M45" i="22" s="1"/>
  <c r="L46" i="22"/>
  <c r="M46" i="22" s="1"/>
  <c r="L48" i="22"/>
  <c r="M48" i="22" s="1"/>
  <c r="L49" i="22"/>
  <c r="M49" i="22" s="1"/>
  <c r="L50" i="22"/>
  <c r="M50" i="22" s="1"/>
  <c r="L51" i="22"/>
  <c r="L52" i="22"/>
  <c r="M52" i="22" s="1"/>
  <c r="L54" i="22"/>
  <c r="M54" i="22" s="1"/>
  <c r="L55" i="22"/>
  <c r="M55" i="22" s="1"/>
  <c r="L56" i="22"/>
  <c r="M56" i="22" s="1"/>
  <c r="L57" i="22"/>
  <c r="M57" i="22" s="1"/>
  <c r="L58" i="22"/>
  <c r="M58" i="22" s="1"/>
  <c r="L59" i="22"/>
  <c r="M59" i="22" s="1"/>
  <c r="L60" i="22"/>
  <c r="L61" i="22"/>
  <c r="M61" i="22" s="1"/>
  <c r="L62" i="22"/>
  <c r="M62" i="22" s="1"/>
  <c r="L63" i="22"/>
  <c r="M63" i="22" s="1"/>
  <c r="L64" i="22"/>
  <c r="M64" i="22" s="1"/>
  <c r="L65" i="22"/>
  <c r="M65" i="22" s="1"/>
  <c r="L66" i="22"/>
  <c r="M66" i="22" s="1"/>
  <c r="L67" i="22"/>
  <c r="M67" i="22" s="1"/>
  <c r="L68" i="22"/>
  <c r="L69" i="22"/>
  <c r="M69" i="22" s="1"/>
  <c r="L70" i="22"/>
  <c r="M70" i="22" s="1"/>
  <c r="L71" i="22"/>
  <c r="M71" i="22" s="1"/>
  <c r="L72" i="22"/>
  <c r="M72" i="22" s="1"/>
  <c r="L73" i="22"/>
  <c r="M73" i="22" s="1"/>
  <c r="L75" i="22"/>
  <c r="M75" i="22" s="1"/>
  <c r="L76" i="22"/>
  <c r="M76" i="22" s="1"/>
  <c r="L78" i="22"/>
  <c r="L79" i="22"/>
  <c r="M79" i="22" s="1"/>
  <c r="L80" i="22"/>
  <c r="M80" i="22" s="1"/>
  <c r="L82" i="22"/>
  <c r="M82" i="22" s="1"/>
  <c r="M81" i="22" s="1"/>
  <c r="N15" i="22"/>
  <c r="P15" i="22" s="1"/>
  <c r="L15" i="22"/>
  <c r="M15" i="22" s="1"/>
  <c r="J86" i="21"/>
  <c r="P48" i="21"/>
  <c r="M48" i="21"/>
  <c r="P76" i="21"/>
  <c r="M76" i="21"/>
  <c r="M79" i="21"/>
  <c r="P40" i="21"/>
  <c r="P42" i="21"/>
  <c r="P43" i="21"/>
  <c r="P44" i="21"/>
  <c r="P45" i="21"/>
  <c r="P49" i="21"/>
  <c r="P50" i="21"/>
  <c r="P51" i="21"/>
  <c r="P52" i="21"/>
  <c r="P53" i="21"/>
  <c r="P54" i="21"/>
  <c r="P58" i="21"/>
  <c r="P59" i="21"/>
  <c r="P60" i="21"/>
  <c r="P61" i="21"/>
  <c r="P62" i="21"/>
  <c r="P63" i="21"/>
  <c r="P65" i="21"/>
  <c r="P66" i="21"/>
  <c r="P67" i="21"/>
  <c r="P68" i="21"/>
  <c r="P69" i="21"/>
  <c r="P70" i="21"/>
  <c r="P71" i="21"/>
  <c r="P72" i="21"/>
  <c r="P73" i="21"/>
  <c r="P74" i="21"/>
  <c r="P77" i="21"/>
  <c r="P78" i="21"/>
  <c r="P80" i="21"/>
  <c r="P81" i="21"/>
  <c r="O16" i="21"/>
  <c r="O17" i="21"/>
  <c r="O18" i="21"/>
  <c r="O19" i="21"/>
  <c r="O20" i="21"/>
  <c r="O21" i="21"/>
  <c r="O22" i="21"/>
  <c r="O23" i="21"/>
  <c r="O24" i="21"/>
  <c r="O25" i="21"/>
  <c r="O26" i="21"/>
  <c r="O27" i="21"/>
  <c r="O28" i="21"/>
  <c r="O29" i="21"/>
  <c r="O30" i="21"/>
  <c r="O31" i="21"/>
  <c r="O32" i="21"/>
  <c r="O33" i="21"/>
  <c r="O34" i="21"/>
  <c r="O35" i="21"/>
  <c r="O36" i="21"/>
  <c r="O37" i="21"/>
  <c r="O39" i="21"/>
  <c r="O40" i="21"/>
  <c r="O42" i="21"/>
  <c r="O43" i="21"/>
  <c r="O44" i="21"/>
  <c r="O45" i="21"/>
  <c r="O46" i="21"/>
  <c r="O47" i="21"/>
  <c r="O49" i="21"/>
  <c r="O50" i="21"/>
  <c r="O51" i="21"/>
  <c r="O52" i="21"/>
  <c r="O53" i="21"/>
  <c r="O54" i="21"/>
  <c r="O56" i="21"/>
  <c r="O57" i="21"/>
  <c r="O58" i="21"/>
  <c r="O59" i="21"/>
  <c r="O60" i="21"/>
  <c r="O61" i="21"/>
  <c r="O62" i="21"/>
  <c r="O63" i="21"/>
  <c r="O64" i="21"/>
  <c r="O65" i="21"/>
  <c r="O66" i="21"/>
  <c r="O67" i="21"/>
  <c r="O68" i="21"/>
  <c r="O69" i="21"/>
  <c r="O70" i="21"/>
  <c r="O71" i="21"/>
  <c r="O72" i="21"/>
  <c r="O73" i="21"/>
  <c r="O74" i="21"/>
  <c r="O75" i="21"/>
  <c r="O77" i="21"/>
  <c r="O78" i="21"/>
  <c r="O80" i="21"/>
  <c r="O81" i="21"/>
  <c r="O82" i="21"/>
  <c r="O84" i="21"/>
  <c r="N16" i="21"/>
  <c r="P16" i="21" s="1"/>
  <c r="N17" i="21"/>
  <c r="P17" i="21" s="1"/>
  <c r="N18" i="21"/>
  <c r="P18" i="21" s="1"/>
  <c r="N20" i="21"/>
  <c r="P20" i="21" s="1"/>
  <c r="N21" i="21"/>
  <c r="P21" i="21" s="1"/>
  <c r="N22" i="21"/>
  <c r="P22" i="21" s="1"/>
  <c r="N24" i="21"/>
  <c r="P24" i="21" s="1"/>
  <c r="N25" i="21"/>
  <c r="P25" i="21" s="1"/>
  <c r="N28" i="21"/>
  <c r="P28" i="21" s="1"/>
  <c r="N29" i="21"/>
  <c r="P29" i="21" s="1"/>
  <c r="N30" i="21"/>
  <c r="P30" i="21" s="1"/>
  <c r="N32" i="21"/>
  <c r="P32" i="21" s="1"/>
  <c r="N33" i="21"/>
  <c r="P33" i="21" s="1"/>
  <c r="N36" i="21"/>
  <c r="P36" i="21" s="1"/>
  <c r="N37" i="21"/>
  <c r="P37" i="21" s="1"/>
  <c r="N39" i="21"/>
  <c r="P39" i="21" s="1"/>
  <c r="N40" i="21"/>
  <c r="N42" i="21"/>
  <c r="N43" i="21"/>
  <c r="N44" i="21"/>
  <c r="N45" i="21"/>
  <c r="N46" i="21"/>
  <c r="P46" i="21" s="1"/>
  <c r="N47" i="21"/>
  <c r="P47" i="21" s="1"/>
  <c r="N49" i="21"/>
  <c r="N50" i="21"/>
  <c r="N51" i="21"/>
  <c r="N52" i="21"/>
  <c r="N53" i="21"/>
  <c r="N54" i="21"/>
  <c r="N56" i="21"/>
  <c r="P56" i="21" s="1"/>
  <c r="N57" i="21"/>
  <c r="P57" i="21" s="1"/>
  <c r="N58" i="21"/>
  <c r="N59" i="21"/>
  <c r="N60" i="21"/>
  <c r="N61" i="21"/>
  <c r="N62" i="21"/>
  <c r="N63" i="21"/>
  <c r="N64" i="21"/>
  <c r="P64" i="21" s="1"/>
  <c r="N65" i="21"/>
  <c r="N66" i="21"/>
  <c r="N67" i="21"/>
  <c r="N68" i="21"/>
  <c r="N69" i="21"/>
  <c r="N70" i="21"/>
  <c r="N71" i="21"/>
  <c r="N72" i="21"/>
  <c r="N73" i="21"/>
  <c r="N74" i="21"/>
  <c r="N75" i="21"/>
  <c r="P75" i="21" s="1"/>
  <c r="N77" i="21"/>
  <c r="N78" i="21"/>
  <c r="N80" i="21"/>
  <c r="N81" i="21"/>
  <c r="N82" i="21"/>
  <c r="P82" i="21" s="1"/>
  <c r="N84" i="21"/>
  <c r="P84" i="21" s="1"/>
  <c r="P83" i="21" s="1"/>
  <c r="O15" i="21"/>
  <c r="N15" i="21"/>
  <c r="P15" i="21" s="1"/>
  <c r="M16" i="21"/>
  <c r="M17" i="21"/>
  <c r="M20" i="21"/>
  <c r="M21" i="21"/>
  <c r="M22" i="21"/>
  <c r="M24" i="21"/>
  <c r="M25" i="21"/>
  <c r="M28" i="21"/>
  <c r="M29" i="21"/>
  <c r="M30" i="21"/>
  <c r="M32" i="21"/>
  <c r="M33" i="21"/>
  <c r="M36" i="21"/>
  <c r="M37" i="21"/>
  <c r="M39" i="21"/>
  <c r="M38" i="21" s="1"/>
  <c r="M40" i="21"/>
  <c r="M42" i="21"/>
  <c r="M43" i="21"/>
  <c r="M44" i="21"/>
  <c r="M45" i="21"/>
  <c r="M46" i="21"/>
  <c r="M47" i="21"/>
  <c r="M49" i="21"/>
  <c r="M50" i="21"/>
  <c r="M51" i="21"/>
  <c r="M52" i="21"/>
  <c r="M53" i="21"/>
  <c r="M54" i="21"/>
  <c r="M56" i="21"/>
  <c r="M57" i="21"/>
  <c r="M58" i="21"/>
  <c r="M59" i="21"/>
  <c r="M60" i="21"/>
  <c r="M61" i="21"/>
  <c r="M62" i="21"/>
  <c r="M63" i="21"/>
  <c r="M64" i="21"/>
  <c r="M65" i="21"/>
  <c r="M66" i="21"/>
  <c r="M67" i="21"/>
  <c r="M68" i="21"/>
  <c r="M69" i="21"/>
  <c r="M70" i="21"/>
  <c r="M71" i="21"/>
  <c r="M72" i="21"/>
  <c r="M73" i="21"/>
  <c r="M74" i="21"/>
  <c r="M75" i="21"/>
  <c r="M77" i="21"/>
  <c r="M78" i="21"/>
  <c r="M80" i="21"/>
  <c r="M81" i="21"/>
  <c r="M82" i="21"/>
  <c r="M84" i="21"/>
  <c r="M83" i="21" s="1"/>
  <c r="L16" i="21"/>
  <c r="L17" i="21"/>
  <c r="L18" i="21"/>
  <c r="L19" i="21"/>
  <c r="L20" i="21"/>
  <c r="L21" i="21"/>
  <c r="L22" i="21"/>
  <c r="L23" i="21"/>
  <c r="L24" i="21"/>
  <c r="L25" i="21"/>
  <c r="L26" i="21"/>
  <c r="L27" i="21"/>
  <c r="L28" i="21"/>
  <c r="L29" i="21"/>
  <c r="L30" i="21"/>
  <c r="L31" i="21"/>
  <c r="L32" i="21"/>
  <c r="L33" i="21"/>
  <c r="L34" i="21"/>
  <c r="L35" i="21"/>
  <c r="L36" i="21"/>
  <c r="L37" i="21"/>
  <c r="L39" i="21"/>
  <c r="L40" i="21"/>
  <c r="L42" i="21"/>
  <c r="L43" i="21"/>
  <c r="L44" i="21"/>
  <c r="L45" i="21"/>
  <c r="L46" i="21"/>
  <c r="L47" i="21"/>
  <c r="L49" i="21"/>
  <c r="L50" i="21"/>
  <c r="L51" i="21"/>
  <c r="L52" i="21"/>
  <c r="L53" i="21"/>
  <c r="L54" i="21"/>
  <c r="L56" i="21"/>
  <c r="L57" i="21"/>
  <c r="L58" i="21"/>
  <c r="L59" i="21"/>
  <c r="L60" i="21"/>
  <c r="L61" i="21"/>
  <c r="L62" i="21"/>
  <c r="L63" i="21"/>
  <c r="L64" i="21"/>
  <c r="L65" i="21"/>
  <c r="L66" i="21"/>
  <c r="L67" i="21"/>
  <c r="L68" i="21"/>
  <c r="L69" i="21"/>
  <c r="L70" i="21"/>
  <c r="L71" i="21"/>
  <c r="L72" i="21"/>
  <c r="L73" i="21"/>
  <c r="L74" i="21"/>
  <c r="L75" i="21"/>
  <c r="L77" i="21"/>
  <c r="L78" i="21"/>
  <c r="L80" i="21"/>
  <c r="L81" i="21"/>
  <c r="L82" i="21"/>
  <c r="L84" i="21"/>
  <c r="M15" i="21"/>
  <c r="L15" i="21"/>
  <c r="P43" i="20"/>
  <c r="P52" i="20"/>
  <c r="P61" i="20"/>
  <c r="P69" i="20"/>
  <c r="P78" i="20"/>
  <c r="O16" i="20"/>
  <c r="O17" i="20"/>
  <c r="O18" i="20"/>
  <c r="O19" i="20"/>
  <c r="O20" i="20"/>
  <c r="O21" i="20"/>
  <c r="O22" i="20"/>
  <c r="O23" i="20"/>
  <c r="O24" i="20"/>
  <c r="O25" i="20"/>
  <c r="O26" i="20"/>
  <c r="O27" i="20"/>
  <c r="O28" i="20"/>
  <c r="O29" i="20"/>
  <c r="O30" i="20"/>
  <c r="O31" i="20"/>
  <c r="O32" i="20"/>
  <c r="O33" i="20"/>
  <c r="O34" i="20"/>
  <c r="O35" i="20"/>
  <c r="O36" i="20"/>
  <c r="O37" i="20"/>
  <c r="O39" i="20"/>
  <c r="O40" i="20"/>
  <c r="O42" i="20"/>
  <c r="O43" i="20"/>
  <c r="O44" i="20"/>
  <c r="O45" i="20"/>
  <c r="O46" i="20"/>
  <c r="O47" i="20"/>
  <c r="O48" i="20"/>
  <c r="O50" i="20"/>
  <c r="O51" i="20"/>
  <c r="O52" i="20"/>
  <c r="O53" i="20"/>
  <c r="O54" i="20"/>
  <c r="O56" i="20"/>
  <c r="O57" i="20"/>
  <c r="O58" i="20"/>
  <c r="O59" i="20"/>
  <c r="O60" i="20"/>
  <c r="O61" i="20"/>
  <c r="O62" i="20"/>
  <c r="O63" i="20"/>
  <c r="O64" i="20"/>
  <c r="O65" i="20"/>
  <c r="O66" i="20"/>
  <c r="O67" i="20"/>
  <c r="O68" i="20"/>
  <c r="O69" i="20"/>
  <c r="O70" i="20"/>
  <c r="O71" i="20"/>
  <c r="O72" i="20"/>
  <c r="O73" i="20"/>
  <c r="O74" i="20"/>
  <c r="O75" i="20"/>
  <c r="O77" i="20"/>
  <c r="O78" i="20"/>
  <c r="O80" i="20"/>
  <c r="O81" i="20"/>
  <c r="O82" i="20"/>
  <c r="O84" i="20"/>
  <c r="O15" i="20"/>
  <c r="N17" i="20"/>
  <c r="P17" i="20" s="1"/>
  <c r="N19" i="20"/>
  <c r="P19" i="20" s="1"/>
  <c r="N21" i="20"/>
  <c r="P21" i="20" s="1"/>
  <c r="N22" i="20"/>
  <c r="P22" i="20" s="1"/>
  <c r="N25" i="20"/>
  <c r="P25" i="20" s="1"/>
  <c r="N27" i="20"/>
  <c r="P27" i="20" s="1"/>
  <c r="N29" i="20"/>
  <c r="P29" i="20" s="1"/>
  <c r="N30" i="20"/>
  <c r="P30" i="20" s="1"/>
  <c r="N33" i="20"/>
  <c r="P33" i="20" s="1"/>
  <c r="N35" i="20"/>
  <c r="P35" i="20" s="1"/>
  <c r="N37" i="20"/>
  <c r="P37" i="20" s="1"/>
  <c r="N39" i="20"/>
  <c r="P39" i="20" s="1"/>
  <c r="N40" i="20"/>
  <c r="P40" i="20" s="1"/>
  <c r="N42" i="20"/>
  <c r="P42" i="20" s="1"/>
  <c r="N43" i="20"/>
  <c r="N44" i="20"/>
  <c r="P44" i="20" s="1"/>
  <c r="N45" i="20"/>
  <c r="P45" i="20" s="1"/>
  <c r="N46" i="20"/>
  <c r="P46" i="20" s="1"/>
  <c r="N47" i="20"/>
  <c r="P47" i="20" s="1"/>
  <c r="N48" i="20"/>
  <c r="P48" i="20" s="1"/>
  <c r="N50" i="20"/>
  <c r="P50" i="20" s="1"/>
  <c r="N51" i="20"/>
  <c r="P51" i="20" s="1"/>
  <c r="N52" i="20"/>
  <c r="N53" i="20"/>
  <c r="P53" i="20" s="1"/>
  <c r="N54" i="20"/>
  <c r="P54" i="20" s="1"/>
  <c r="N56" i="20"/>
  <c r="P56" i="20" s="1"/>
  <c r="N57" i="20"/>
  <c r="P57" i="20" s="1"/>
  <c r="N58" i="20"/>
  <c r="P58" i="20" s="1"/>
  <c r="N59" i="20"/>
  <c r="P59" i="20" s="1"/>
  <c r="N60" i="20"/>
  <c r="P60" i="20" s="1"/>
  <c r="N61" i="20"/>
  <c r="N62" i="20"/>
  <c r="P62" i="20" s="1"/>
  <c r="N63" i="20"/>
  <c r="P63" i="20" s="1"/>
  <c r="N64" i="20"/>
  <c r="P64" i="20" s="1"/>
  <c r="N65" i="20"/>
  <c r="P65" i="20" s="1"/>
  <c r="N66" i="20"/>
  <c r="P66" i="20" s="1"/>
  <c r="N67" i="20"/>
  <c r="P67" i="20" s="1"/>
  <c r="N68" i="20"/>
  <c r="P68" i="20" s="1"/>
  <c r="N69" i="20"/>
  <c r="N70" i="20"/>
  <c r="P70" i="20" s="1"/>
  <c r="N71" i="20"/>
  <c r="P71" i="20" s="1"/>
  <c r="N72" i="20"/>
  <c r="P72" i="20" s="1"/>
  <c r="N73" i="20"/>
  <c r="P73" i="20" s="1"/>
  <c r="N74" i="20"/>
  <c r="P74" i="20" s="1"/>
  <c r="N75" i="20"/>
  <c r="P75" i="20" s="1"/>
  <c r="N77" i="20"/>
  <c r="P77" i="20" s="1"/>
  <c r="P76" i="20" s="1"/>
  <c r="N78" i="20"/>
  <c r="N80" i="20"/>
  <c r="P80" i="20" s="1"/>
  <c r="N81" i="20"/>
  <c r="P81" i="20" s="1"/>
  <c r="N82" i="20"/>
  <c r="P82" i="20" s="1"/>
  <c r="N84" i="20"/>
  <c r="P84" i="20" s="1"/>
  <c r="P83" i="20" s="1"/>
  <c r="N15" i="20"/>
  <c r="P15" i="20" s="1"/>
  <c r="M40" i="20"/>
  <c r="M46" i="20"/>
  <c r="M50" i="20"/>
  <c r="M56" i="20"/>
  <c r="M59" i="20"/>
  <c r="M64" i="20"/>
  <c r="M67" i="20"/>
  <c r="M72" i="20"/>
  <c r="M75" i="20"/>
  <c r="M82" i="20"/>
  <c r="L16" i="20"/>
  <c r="L17" i="20"/>
  <c r="M17" i="20" s="1"/>
  <c r="L18" i="20"/>
  <c r="L19" i="20"/>
  <c r="M19" i="20" s="1"/>
  <c r="L20" i="20"/>
  <c r="L21" i="20"/>
  <c r="M21" i="20" s="1"/>
  <c r="L22" i="20"/>
  <c r="M22" i="20" s="1"/>
  <c r="L23" i="20"/>
  <c r="L24" i="20"/>
  <c r="L25" i="20"/>
  <c r="M25" i="20" s="1"/>
  <c r="L26" i="20"/>
  <c r="L27" i="20"/>
  <c r="M27" i="20" s="1"/>
  <c r="L28" i="20"/>
  <c r="L29" i="20"/>
  <c r="M29" i="20" s="1"/>
  <c r="L30" i="20"/>
  <c r="M30" i="20" s="1"/>
  <c r="L31" i="20"/>
  <c r="L32" i="20"/>
  <c r="L33" i="20"/>
  <c r="M33" i="20" s="1"/>
  <c r="L34" i="20"/>
  <c r="L35" i="20"/>
  <c r="M35" i="20" s="1"/>
  <c r="L36" i="20"/>
  <c r="L37" i="20"/>
  <c r="M37" i="20" s="1"/>
  <c r="L39" i="20"/>
  <c r="M39" i="20" s="1"/>
  <c r="M38" i="20" s="1"/>
  <c r="L40" i="20"/>
  <c r="L42" i="20"/>
  <c r="M42" i="20" s="1"/>
  <c r="L43" i="20"/>
  <c r="M43" i="20" s="1"/>
  <c r="L44" i="20"/>
  <c r="M44" i="20" s="1"/>
  <c r="L45" i="20"/>
  <c r="M45" i="20" s="1"/>
  <c r="L46" i="20"/>
  <c r="L47" i="20"/>
  <c r="M47" i="20" s="1"/>
  <c r="L48" i="20"/>
  <c r="M48" i="20" s="1"/>
  <c r="L50" i="20"/>
  <c r="L51" i="20"/>
  <c r="M51" i="20" s="1"/>
  <c r="L52" i="20"/>
  <c r="M52" i="20" s="1"/>
  <c r="L53" i="20"/>
  <c r="M53" i="20" s="1"/>
  <c r="L54" i="20"/>
  <c r="M54" i="20" s="1"/>
  <c r="L56" i="20"/>
  <c r="L57" i="20"/>
  <c r="M57" i="20" s="1"/>
  <c r="L58" i="20"/>
  <c r="M58" i="20" s="1"/>
  <c r="L59" i="20"/>
  <c r="L60" i="20"/>
  <c r="M60" i="20" s="1"/>
  <c r="L61" i="20"/>
  <c r="M61" i="20" s="1"/>
  <c r="L62" i="20"/>
  <c r="M62" i="20" s="1"/>
  <c r="L63" i="20"/>
  <c r="M63" i="20" s="1"/>
  <c r="L64" i="20"/>
  <c r="L65" i="20"/>
  <c r="M65" i="20" s="1"/>
  <c r="L66" i="20"/>
  <c r="M66" i="20" s="1"/>
  <c r="L67" i="20"/>
  <c r="L68" i="20"/>
  <c r="M68" i="20" s="1"/>
  <c r="L69" i="20"/>
  <c r="M69" i="20" s="1"/>
  <c r="L70" i="20"/>
  <c r="M70" i="20" s="1"/>
  <c r="L71" i="20"/>
  <c r="M71" i="20" s="1"/>
  <c r="L72" i="20"/>
  <c r="L73" i="20"/>
  <c r="M73" i="20" s="1"/>
  <c r="L74" i="20"/>
  <c r="M74" i="20" s="1"/>
  <c r="L75" i="20"/>
  <c r="L77" i="20"/>
  <c r="M77" i="20" s="1"/>
  <c r="M76" i="20" s="1"/>
  <c r="L78" i="20"/>
  <c r="M78" i="20" s="1"/>
  <c r="L80" i="20"/>
  <c r="M80" i="20" s="1"/>
  <c r="M79" i="20" s="1"/>
  <c r="L81" i="20"/>
  <c r="M81" i="20" s="1"/>
  <c r="L82" i="20"/>
  <c r="L84" i="20"/>
  <c r="M84" i="20" s="1"/>
  <c r="M83" i="20" s="1"/>
  <c r="M15" i="20"/>
  <c r="L15" i="20"/>
  <c r="P65" i="19"/>
  <c r="P73" i="19"/>
  <c r="O16" i="19"/>
  <c r="O17" i="19"/>
  <c r="O18" i="19"/>
  <c r="O19" i="19"/>
  <c r="O20" i="19"/>
  <c r="O21" i="19"/>
  <c r="O22" i="19"/>
  <c r="O23" i="19"/>
  <c r="O24" i="19"/>
  <c r="O25" i="19"/>
  <c r="O26" i="19"/>
  <c r="O27" i="19"/>
  <c r="O28" i="19"/>
  <c r="O29" i="19"/>
  <c r="O30" i="19"/>
  <c r="O31" i="19"/>
  <c r="O32" i="19"/>
  <c r="O33" i="19"/>
  <c r="O34" i="19"/>
  <c r="O35" i="19"/>
  <c r="O36" i="19"/>
  <c r="O38" i="19"/>
  <c r="O39" i="19"/>
  <c r="O41" i="19"/>
  <c r="O42" i="19"/>
  <c r="O43" i="19"/>
  <c r="O44" i="19"/>
  <c r="O45" i="19"/>
  <c r="O46" i="19"/>
  <c r="O47" i="19"/>
  <c r="O48" i="19"/>
  <c r="O50" i="19"/>
  <c r="O51" i="19"/>
  <c r="O52" i="19"/>
  <c r="O53" i="19"/>
  <c r="O54" i="19"/>
  <c r="O56" i="19"/>
  <c r="O57" i="19"/>
  <c r="O58" i="19"/>
  <c r="O59" i="19"/>
  <c r="O60" i="19"/>
  <c r="O61" i="19"/>
  <c r="O62" i="19"/>
  <c r="O63" i="19"/>
  <c r="O64" i="19"/>
  <c r="O65" i="19"/>
  <c r="O66" i="19"/>
  <c r="O67" i="19"/>
  <c r="O68" i="19"/>
  <c r="O69" i="19"/>
  <c r="O70" i="19"/>
  <c r="O71" i="19"/>
  <c r="O72" i="19"/>
  <c r="O73" i="19"/>
  <c r="O74" i="19"/>
  <c r="O75" i="19"/>
  <c r="O77" i="19"/>
  <c r="O78" i="19"/>
  <c r="O80" i="19"/>
  <c r="O81" i="19"/>
  <c r="O82" i="19"/>
  <c r="O84" i="19"/>
  <c r="N32" i="19"/>
  <c r="P32" i="19" s="1"/>
  <c r="N33" i="19"/>
  <c r="P33" i="19" s="1"/>
  <c r="N41" i="19"/>
  <c r="P41" i="19" s="1"/>
  <c r="N42" i="19"/>
  <c r="P42" i="19" s="1"/>
  <c r="N43" i="19"/>
  <c r="P43" i="19" s="1"/>
  <c r="N44" i="19"/>
  <c r="P44" i="19" s="1"/>
  <c r="N45" i="19"/>
  <c r="P45" i="19" s="1"/>
  <c r="N46" i="19"/>
  <c r="P46" i="19" s="1"/>
  <c r="N47" i="19"/>
  <c r="P47" i="19" s="1"/>
  <c r="N48" i="19"/>
  <c r="P48" i="19" s="1"/>
  <c r="N50" i="19"/>
  <c r="P50" i="19" s="1"/>
  <c r="N51" i="19"/>
  <c r="P51" i="19" s="1"/>
  <c r="N52" i="19"/>
  <c r="P52" i="19" s="1"/>
  <c r="N53" i="19"/>
  <c r="P53" i="19" s="1"/>
  <c r="N54" i="19"/>
  <c r="P54" i="19" s="1"/>
  <c r="N56" i="19"/>
  <c r="P56" i="19" s="1"/>
  <c r="N57" i="19"/>
  <c r="P57" i="19" s="1"/>
  <c r="N58" i="19"/>
  <c r="P58" i="19" s="1"/>
  <c r="N59" i="19"/>
  <c r="P59" i="19" s="1"/>
  <c r="N60" i="19"/>
  <c r="P60" i="19" s="1"/>
  <c r="N61" i="19"/>
  <c r="P61" i="19" s="1"/>
  <c r="N62" i="19"/>
  <c r="P62" i="19" s="1"/>
  <c r="N63" i="19"/>
  <c r="P63" i="19" s="1"/>
  <c r="N64" i="19"/>
  <c r="P64" i="19" s="1"/>
  <c r="N65" i="19"/>
  <c r="N66" i="19"/>
  <c r="P66" i="19" s="1"/>
  <c r="N67" i="19"/>
  <c r="P67" i="19" s="1"/>
  <c r="N68" i="19"/>
  <c r="P68" i="19" s="1"/>
  <c r="N69" i="19"/>
  <c r="P69" i="19" s="1"/>
  <c r="N70" i="19"/>
  <c r="P70" i="19" s="1"/>
  <c r="N71" i="19"/>
  <c r="P71" i="19" s="1"/>
  <c r="N72" i="19"/>
  <c r="P72" i="19" s="1"/>
  <c r="N73" i="19"/>
  <c r="N74" i="19"/>
  <c r="P74" i="19" s="1"/>
  <c r="N75" i="19"/>
  <c r="P75" i="19" s="1"/>
  <c r="N77" i="19"/>
  <c r="P77" i="19" s="1"/>
  <c r="N78" i="19"/>
  <c r="P78" i="19" s="1"/>
  <c r="N80" i="19"/>
  <c r="P80" i="19" s="1"/>
  <c r="P79" i="19" s="1"/>
  <c r="N81" i="19"/>
  <c r="P81" i="19" s="1"/>
  <c r="N82" i="19"/>
  <c r="P82" i="19" s="1"/>
  <c r="N84" i="19"/>
  <c r="P84" i="19" s="1"/>
  <c r="P83" i="19" s="1"/>
  <c r="O15" i="19"/>
  <c r="N15" i="19"/>
  <c r="M16" i="19"/>
  <c r="M24" i="19"/>
  <c r="M42" i="19"/>
  <c r="M51" i="19"/>
  <c r="M60" i="19"/>
  <c r="M68" i="19"/>
  <c r="M77" i="19"/>
  <c r="L16" i="19"/>
  <c r="L17" i="19"/>
  <c r="M17" i="19" s="1"/>
  <c r="L18" i="19"/>
  <c r="L19" i="19"/>
  <c r="L20" i="19"/>
  <c r="L21" i="19"/>
  <c r="L22" i="19"/>
  <c r="L23" i="19"/>
  <c r="L24" i="19"/>
  <c r="L25" i="19"/>
  <c r="M25" i="19" s="1"/>
  <c r="L26" i="19"/>
  <c r="L27" i="19"/>
  <c r="L28" i="19"/>
  <c r="L29" i="19"/>
  <c r="L30" i="19"/>
  <c r="L31" i="19"/>
  <c r="L32" i="19"/>
  <c r="L33" i="19"/>
  <c r="M33" i="19" s="1"/>
  <c r="L34" i="19"/>
  <c r="L35" i="19"/>
  <c r="L36" i="19"/>
  <c r="L38" i="19"/>
  <c r="L39" i="19"/>
  <c r="L41" i="19"/>
  <c r="M41" i="19" s="1"/>
  <c r="L42" i="19"/>
  <c r="L43" i="19"/>
  <c r="M43" i="19" s="1"/>
  <c r="L44" i="19"/>
  <c r="M44" i="19" s="1"/>
  <c r="L45" i="19"/>
  <c r="M45" i="19" s="1"/>
  <c r="L46" i="19"/>
  <c r="M46" i="19" s="1"/>
  <c r="L47" i="19"/>
  <c r="M47" i="19" s="1"/>
  <c r="L48" i="19"/>
  <c r="M48" i="19" s="1"/>
  <c r="L50" i="19"/>
  <c r="M50" i="19" s="1"/>
  <c r="L51" i="19"/>
  <c r="L52" i="19"/>
  <c r="M52" i="19" s="1"/>
  <c r="L53" i="19"/>
  <c r="M53" i="19" s="1"/>
  <c r="L54" i="19"/>
  <c r="M54" i="19" s="1"/>
  <c r="L56" i="19"/>
  <c r="M56" i="19" s="1"/>
  <c r="L57" i="19"/>
  <c r="M57" i="19" s="1"/>
  <c r="L58" i="19"/>
  <c r="M58" i="19" s="1"/>
  <c r="L59" i="19"/>
  <c r="M59" i="19" s="1"/>
  <c r="L60" i="19"/>
  <c r="L61" i="19"/>
  <c r="M61" i="19" s="1"/>
  <c r="L62" i="19"/>
  <c r="M62" i="19" s="1"/>
  <c r="L63" i="19"/>
  <c r="M63" i="19" s="1"/>
  <c r="L64" i="19"/>
  <c r="M64" i="19" s="1"/>
  <c r="L65" i="19"/>
  <c r="M65" i="19" s="1"/>
  <c r="L66" i="19"/>
  <c r="M66" i="19" s="1"/>
  <c r="L67" i="19"/>
  <c r="M67" i="19" s="1"/>
  <c r="L68" i="19"/>
  <c r="L69" i="19"/>
  <c r="M69" i="19" s="1"/>
  <c r="L70" i="19"/>
  <c r="M70" i="19" s="1"/>
  <c r="L71" i="19"/>
  <c r="M71" i="19" s="1"/>
  <c r="L72" i="19"/>
  <c r="M72" i="19" s="1"/>
  <c r="L73" i="19"/>
  <c r="M73" i="19" s="1"/>
  <c r="L74" i="19"/>
  <c r="M74" i="19" s="1"/>
  <c r="L75" i="19"/>
  <c r="M75" i="19" s="1"/>
  <c r="L77" i="19"/>
  <c r="L78" i="19"/>
  <c r="M78" i="19" s="1"/>
  <c r="L80" i="19"/>
  <c r="M80" i="19" s="1"/>
  <c r="L81" i="19"/>
  <c r="M81" i="19" s="1"/>
  <c r="L82" i="19"/>
  <c r="M82" i="19" s="1"/>
  <c r="L84" i="19"/>
  <c r="M84" i="19" s="1"/>
  <c r="M83" i="19" s="1"/>
  <c r="L15" i="19"/>
  <c r="M15" i="19" s="1"/>
  <c r="P47" i="18"/>
  <c r="M47" i="18"/>
  <c r="O63" i="18"/>
  <c r="N63" i="18"/>
  <c r="L63" i="18"/>
  <c r="M63" i="18" s="1"/>
  <c r="P75" i="18"/>
  <c r="M75" i="18"/>
  <c r="P25" i="18"/>
  <c r="P33" i="18"/>
  <c r="P40" i="18"/>
  <c r="P41" i="18"/>
  <c r="P42" i="18"/>
  <c r="P43" i="18"/>
  <c r="P44" i="18"/>
  <c r="P48" i="18"/>
  <c r="P49" i="18"/>
  <c r="P50" i="18"/>
  <c r="P51" i="18"/>
  <c r="P52" i="18"/>
  <c r="P53" i="18"/>
  <c r="P57" i="18"/>
  <c r="P58" i="18"/>
  <c r="P59" i="18"/>
  <c r="P60" i="18"/>
  <c r="P61" i="18"/>
  <c r="P62" i="18"/>
  <c r="P63" i="18"/>
  <c r="P64" i="18"/>
  <c r="P65" i="18"/>
  <c r="P66" i="18"/>
  <c r="P67" i="18"/>
  <c r="P68" i="18"/>
  <c r="P69" i="18"/>
  <c r="P70" i="18"/>
  <c r="P71" i="18"/>
  <c r="P72" i="18"/>
  <c r="P73" i="18"/>
  <c r="P76" i="18"/>
  <c r="P77" i="18"/>
  <c r="P80" i="18"/>
  <c r="P83" i="18"/>
  <c r="P82" i="18" s="1"/>
  <c r="O16" i="18"/>
  <c r="O17" i="18"/>
  <c r="O18" i="18"/>
  <c r="O19" i="18"/>
  <c r="O20" i="18"/>
  <c r="O21" i="18"/>
  <c r="O22" i="18"/>
  <c r="O23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7" i="18"/>
  <c r="O38" i="18"/>
  <c r="O40" i="18"/>
  <c r="O41" i="18"/>
  <c r="O42" i="18"/>
  <c r="O43" i="18"/>
  <c r="O44" i="18"/>
  <c r="O45" i="18"/>
  <c r="O46" i="18"/>
  <c r="O48" i="18"/>
  <c r="O49" i="18"/>
  <c r="O50" i="18"/>
  <c r="O51" i="18"/>
  <c r="O52" i="18"/>
  <c r="O53" i="18"/>
  <c r="O55" i="18"/>
  <c r="O56" i="18"/>
  <c r="O57" i="18"/>
  <c r="O58" i="18"/>
  <c r="O59" i="18"/>
  <c r="O60" i="18"/>
  <c r="O61" i="18"/>
  <c r="O62" i="18"/>
  <c r="O64" i="18"/>
  <c r="O65" i="18"/>
  <c r="O66" i="18"/>
  <c r="O67" i="18"/>
  <c r="O68" i="18"/>
  <c r="O69" i="18"/>
  <c r="O70" i="18"/>
  <c r="O71" i="18"/>
  <c r="O72" i="18"/>
  <c r="O73" i="18"/>
  <c r="O74" i="18"/>
  <c r="O76" i="18"/>
  <c r="O77" i="18"/>
  <c r="O79" i="18"/>
  <c r="O80" i="18"/>
  <c r="O81" i="18"/>
  <c r="O83" i="18"/>
  <c r="N16" i="18"/>
  <c r="P16" i="18" s="1"/>
  <c r="N17" i="18"/>
  <c r="P17" i="18" s="1"/>
  <c r="N18" i="18"/>
  <c r="P18" i="18" s="1"/>
  <c r="N19" i="18"/>
  <c r="P19" i="18" s="1"/>
  <c r="N20" i="18"/>
  <c r="P20" i="18" s="1"/>
  <c r="N21" i="18"/>
  <c r="P21" i="18" s="1"/>
  <c r="N22" i="18"/>
  <c r="P22" i="18" s="1"/>
  <c r="N24" i="18"/>
  <c r="P24" i="18" s="1"/>
  <c r="N25" i="18"/>
  <c r="N26" i="18"/>
  <c r="P26" i="18" s="1"/>
  <c r="N27" i="18"/>
  <c r="P27" i="18" s="1"/>
  <c r="N28" i="18"/>
  <c r="P28" i="18" s="1"/>
  <c r="N29" i="18"/>
  <c r="P29" i="18" s="1"/>
  <c r="N30" i="18"/>
  <c r="P30" i="18" s="1"/>
  <c r="N32" i="18"/>
  <c r="P32" i="18" s="1"/>
  <c r="N33" i="18"/>
  <c r="N34" i="18"/>
  <c r="P34" i="18" s="1"/>
  <c r="N35" i="18"/>
  <c r="P35" i="18" s="1"/>
  <c r="N37" i="18"/>
  <c r="P37" i="18" s="1"/>
  <c r="N38" i="18"/>
  <c r="P38" i="18" s="1"/>
  <c r="N40" i="18"/>
  <c r="N41" i="18"/>
  <c r="N42" i="18"/>
  <c r="N43" i="18"/>
  <c r="N44" i="18"/>
  <c r="N45" i="18"/>
  <c r="P45" i="18" s="1"/>
  <c r="N46" i="18"/>
  <c r="P46" i="18" s="1"/>
  <c r="N48" i="18"/>
  <c r="N49" i="18"/>
  <c r="N50" i="18"/>
  <c r="N51" i="18"/>
  <c r="N52" i="18"/>
  <c r="N53" i="18"/>
  <c r="N55" i="18"/>
  <c r="P55" i="18" s="1"/>
  <c r="N56" i="18"/>
  <c r="P56" i="18" s="1"/>
  <c r="N57" i="18"/>
  <c r="N58" i="18"/>
  <c r="N59" i="18"/>
  <c r="N60" i="18"/>
  <c r="N61" i="18"/>
  <c r="N62" i="18"/>
  <c r="N64" i="18"/>
  <c r="N65" i="18"/>
  <c r="N66" i="18"/>
  <c r="N67" i="18"/>
  <c r="N68" i="18"/>
  <c r="N69" i="18"/>
  <c r="N70" i="18"/>
  <c r="N71" i="18"/>
  <c r="N72" i="18"/>
  <c r="N73" i="18"/>
  <c r="N74" i="18"/>
  <c r="P74" i="18" s="1"/>
  <c r="N76" i="18"/>
  <c r="N77" i="18"/>
  <c r="N79" i="18"/>
  <c r="P79" i="18" s="1"/>
  <c r="N80" i="18"/>
  <c r="N81" i="18"/>
  <c r="P81" i="18" s="1"/>
  <c r="N83" i="18"/>
  <c r="O15" i="18"/>
  <c r="N15" i="18"/>
  <c r="P15" i="18" s="1"/>
  <c r="M16" i="18"/>
  <c r="M17" i="18"/>
  <c r="M18" i="18"/>
  <c r="M19" i="18"/>
  <c r="M20" i="18"/>
  <c r="M21" i="18"/>
  <c r="M22" i="18"/>
  <c r="M24" i="18"/>
  <c r="M25" i="18"/>
  <c r="M26" i="18"/>
  <c r="M27" i="18"/>
  <c r="M28" i="18"/>
  <c r="M29" i="18"/>
  <c r="M30" i="18"/>
  <c r="M32" i="18"/>
  <c r="M33" i="18"/>
  <c r="M34" i="18"/>
  <c r="M35" i="18"/>
  <c r="M37" i="18"/>
  <c r="M36" i="18" s="1"/>
  <c r="M38" i="18"/>
  <c r="M40" i="18"/>
  <c r="M41" i="18"/>
  <c r="M42" i="18"/>
  <c r="M43" i="18"/>
  <c r="M44" i="18"/>
  <c r="M45" i="18"/>
  <c r="M46" i="18"/>
  <c r="M48" i="18"/>
  <c r="M49" i="18"/>
  <c r="M50" i="18"/>
  <c r="M51" i="18"/>
  <c r="M52" i="18"/>
  <c r="M53" i="18"/>
  <c r="M55" i="18"/>
  <c r="M56" i="18"/>
  <c r="M57" i="18"/>
  <c r="M58" i="18"/>
  <c r="M59" i="18"/>
  <c r="M60" i="18"/>
  <c r="M61" i="18"/>
  <c r="M62" i="18"/>
  <c r="M64" i="18"/>
  <c r="M65" i="18"/>
  <c r="M66" i="18"/>
  <c r="M67" i="18"/>
  <c r="M68" i="18"/>
  <c r="M69" i="18"/>
  <c r="M70" i="18"/>
  <c r="M71" i="18"/>
  <c r="M72" i="18"/>
  <c r="M73" i="18"/>
  <c r="M74" i="18"/>
  <c r="M76" i="18"/>
  <c r="M77" i="18"/>
  <c r="M79" i="18"/>
  <c r="M78" i="18" s="1"/>
  <c r="M80" i="18"/>
  <c r="M81" i="18"/>
  <c r="M83" i="18"/>
  <c r="M82" i="18" s="1"/>
  <c r="L16" i="18"/>
  <c r="L17" i="18"/>
  <c r="L18" i="18"/>
  <c r="L19" i="18"/>
  <c r="L20" i="18"/>
  <c r="L21" i="18"/>
  <c r="L22" i="18"/>
  <c r="L23" i="18"/>
  <c r="L24" i="18"/>
  <c r="L25" i="18"/>
  <c r="L26" i="18"/>
  <c r="L27" i="18"/>
  <c r="L28" i="18"/>
  <c r="L29" i="18"/>
  <c r="L30" i="18"/>
  <c r="L31" i="18"/>
  <c r="L32" i="18"/>
  <c r="L33" i="18"/>
  <c r="L34" i="18"/>
  <c r="L35" i="18"/>
  <c r="L37" i="18"/>
  <c r="L38" i="18"/>
  <c r="L40" i="18"/>
  <c r="L41" i="18"/>
  <c r="L42" i="18"/>
  <c r="L43" i="18"/>
  <c r="L44" i="18"/>
  <c r="L45" i="18"/>
  <c r="L46" i="18"/>
  <c r="L48" i="18"/>
  <c r="L49" i="18"/>
  <c r="L50" i="18"/>
  <c r="L51" i="18"/>
  <c r="L52" i="18"/>
  <c r="L53" i="18"/>
  <c r="L55" i="18"/>
  <c r="L56" i="18"/>
  <c r="L57" i="18"/>
  <c r="L58" i="18"/>
  <c r="L59" i="18"/>
  <c r="L60" i="18"/>
  <c r="L61" i="18"/>
  <c r="L62" i="18"/>
  <c r="L64" i="18"/>
  <c r="L65" i="18"/>
  <c r="L66" i="18"/>
  <c r="L67" i="18"/>
  <c r="L68" i="18"/>
  <c r="L69" i="18"/>
  <c r="L70" i="18"/>
  <c r="L71" i="18"/>
  <c r="L72" i="18"/>
  <c r="L73" i="18"/>
  <c r="L74" i="18"/>
  <c r="L76" i="18"/>
  <c r="L77" i="18"/>
  <c r="L79" i="18"/>
  <c r="L80" i="18"/>
  <c r="L81" i="18"/>
  <c r="L83" i="18"/>
  <c r="M15" i="18"/>
  <c r="L15" i="18"/>
  <c r="P45" i="17"/>
  <c r="P47" i="17"/>
  <c r="P53" i="17"/>
  <c r="P54" i="17"/>
  <c r="P56" i="17"/>
  <c r="P61" i="17"/>
  <c r="P62" i="17"/>
  <c r="P64" i="17"/>
  <c r="P65" i="17"/>
  <c r="P72" i="17"/>
  <c r="O16" i="17"/>
  <c r="O17" i="17"/>
  <c r="O18" i="17"/>
  <c r="O19" i="17"/>
  <c r="O20" i="17"/>
  <c r="O21" i="17"/>
  <c r="O22" i="17"/>
  <c r="O23" i="17"/>
  <c r="O24" i="17"/>
  <c r="O25" i="17"/>
  <c r="O26" i="17"/>
  <c r="O27" i="17"/>
  <c r="O28" i="17"/>
  <c r="O29" i="17"/>
  <c r="O30" i="17"/>
  <c r="O31" i="17"/>
  <c r="O32" i="17"/>
  <c r="O33" i="17"/>
  <c r="O34" i="17"/>
  <c r="O35" i="17"/>
  <c r="O37" i="17"/>
  <c r="O38" i="17"/>
  <c r="O40" i="17"/>
  <c r="O41" i="17"/>
  <c r="O42" i="17"/>
  <c r="O43" i="17"/>
  <c r="O45" i="17"/>
  <c r="O46" i="17"/>
  <c r="O47" i="17"/>
  <c r="O48" i="17"/>
  <c r="O49" i="17"/>
  <c r="O51" i="17"/>
  <c r="O52" i="17"/>
  <c r="O53" i="17"/>
  <c r="O54" i="17"/>
  <c r="O55" i="17"/>
  <c r="O56" i="17"/>
  <c r="O57" i="17"/>
  <c r="O58" i="17"/>
  <c r="O59" i="17"/>
  <c r="O60" i="17"/>
  <c r="O61" i="17"/>
  <c r="O62" i="17"/>
  <c r="O63" i="17"/>
  <c r="O64" i="17"/>
  <c r="O65" i="17"/>
  <c r="O66" i="17"/>
  <c r="O68" i="17"/>
  <c r="O69" i="17"/>
  <c r="O71" i="17"/>
  <c r="O72" i="17"/>
  <c r="O73" i="17"/>
  <c r="O75" i="17"/>
  <c r="N16" i="17"/>
  <c r="P16" i="17" s="1"/>
  <c r="N17" i="17"/>
  <c r="P17" i="17" s="1"/>
  <c r="N20" i="17"/>
  <c r="P20" i="17" s="1"/>
  <c r="N21" i="17"/>
  <c r="P21" i="17" s="1"/>
  <c r="N22" i="17"/>
  <c r="P22" i="17" s="1"/>
  <c r="N24" i="17"/>
  <c r="P24" i="17" s="1"/>
  <c r="N25" i="17"/>
  <c r="P25" i="17" s="1"/>
  <c r="N28" i="17"/>
  <c r="P28" i="17" s="1"/>
  <c r="N29" i="17"/>
  <c r="P29" i="17" s="1"/>
  <c r="N30" i="17"/>
  <c r="P30" i="17" s="1"/>
  <c r="N32" i="17"/>
  <c r="P32" i="17" s="1"/>
  <c r="N33" i="17"/>
  <c r="P33" i="17" s="1"/>
  <c r="N37" i="17"/>
  <c r="P37" i="17" s="1"/>
  <c r="N38" i="17"/>
  <c r="P38" i="17" s="1"/>
  <c r="N40" i="17"/>
  <c r="P40" i="17" s="1"/>
  <c r="N41" i="17"/>
  <c r="P41" i="17" s="1"/>
  <c r="N42" i="17"/>
  <c r="P42" i="17" s="1"/>
  <c r="N43" i="17"/>
  <c r="P43" i="17" s="1"/>
  <c r="N45" i="17"/>
  <c r="N46" i="17"/>
  <c r="P46" i="17" s="1"/>
  <c r="N47" i="17"/>
  <c r="N48" i="17"/>
  <c r="P48" i="17" s="1"/>
  <c r="N49" i="17"/>
  <c r="P49" i="17" s="1"/>
  <c r="N51" i="17"/>
  <c r="P51" i="17" s="1"/>
  <c r="N52" i="17"/>
  <c r="P52" i="17" s="1"/>
  <c r="N53" i="17"/>
  <c r="N54" i="17"/>
  <c r="N55" i="17"/>
  <c r="P55" i="17" s="1"/>
  <c r="N56" i="17"/>
  <c r="N57" i="17"/>
  <c r="P57" i="17" s="1"/>
  <c r="N58" i="17"/>
  <c r="P58" i="17" s="1"/>
  <c r="N59" i="17"/>
  <c r="P59" i="17" s="1"/>
  <c r="N60" i="17"/>
  <c r="P60" i="17" s="1"/>
  <c r="N61" i="17"/>
  <c r="N62" i="17"/>
  <c r="N63" i="17"/>
  <c r="P63" i="17" s="1"/>
  <c r="N64" i="17"/>
  <c r="N65" i="17"/>
  <c r="N66" i="17"/>
  <c r="P66" i="17" s="1"/>
  <c r="N68" i="17"/>
  <c r="P68" i="17" s="1"/>
  <c r="N69" i="17"/>
  <c r="P69" i="17" s="1"/>
  <c r="N71" i="17"/>
  <c r="P71" i="17" s="1"/>
  <c r="N72" i="17"/>
  <c r="N73" i="17"/>
  <c r="P73" i="17" s="1"/>
  <c r="N75" i="17"/>
  <c r="P75" i="17" s="1"/>
  <c r="P74" i="17" s="1"/>
  <c r="M21" i="17"/>
  <c r="M22" i="17"/>
  <c r="M27" i="17"/>
  <c r="M29" i="17"/>
  <c r="M30" i="17"/>
  <c r="M38" i="17"/>
  <c r="M40" i="17"/>
  <c r="M45" i="17"/>
  <c r="M46" i="17"/>
  <c r="M48" i="17"/>
  <c r="M49" i="17"/>
  <c r="M54" i="17"/>
  <c r="M55" i="17"/>
  <c r="M57" i="17"/>
  <c r="M58" i="17"/>
  <c r="M62" i="17"/>
  <c r="M63" i="17"/>
  <c r="M65" i="17"/>
  <c r="M66" i="17"/>
  <c r="M72" i="17"/>
  <c r="M73" i="17"/>
  <c r="L16" i="17"/>
  <c r="M16" i="17" s="1"/>
  <c r="L17" i="17"/>
  <c r="M17" i="17" s="1"/>
  <c r="L18" i="17"/>
  <c r="L19" i="17"/>
  <c r="L20" i="17"/>
  <c r="M20" i="17" s="1"/>
  <c r="L21" i="17"/>
  <c r="L22" i="17"/>
  <c r="L23" i="17"/>
  <c r="L24" i="17"/>
  <c r="M24" i="17" s="1"/>
  <c r="L25" i="17"/>
  <c r="M25" i="17" s="1"/>
  <c r="L26" i="17"/>
  <c r="L27" i="17"/>
  <c r="L28" i="17"/>
  <c r="M28" i="17" s="1"/>
  <c r="L29" i="17"/>
  <c r="L30" i="17"/>
  <c r="L31" i="17"/>
  <c r="L32" i="17"/>
  <c r="M32" i="17" s="1"/>
  <c r="L33" i="17"/>
  <c r="M33" i="17" s="1"/>
  <c r="L34" i="17"/>
  <c r="L35" i="17"/>
  <c r="L37" i="17"/>
  <c r="M37" i="17" s="1"/>
  <c r="M36" i="17" s="1"/>
  <c r="L38" i="17"/>
  <c r="L40" i="17"/>
  <c r="L41" i="17"/>
  <c r="M41" i="17" s="1"/>
  <c r="L42" i="17"/>
  <c r="M42" i="17" s="1"/>
  <c r="L43" i="17"/>
  <c r="M43" i="17" s="1"/>
  <c r="L45" i="17"/>
  <c r="L46" i="17"/>
  <c r="L47" i="17"/>
  <c r="M47" i="17" s="1"/>
  <c r="L48" i="17"/>
  <c r="L49" i="17"/>
  <c r="L51" i="17"/>
  <c r="M51" i="17" s="1"/>
  <c r="L52" i="17"/>
  <c r="M52" i="17" s="1"/>
  <c r="L53" i="17"/>
  <c r="M53" i="17" s="1"/>
  <c r="L54" i="17"/>
  <c r="L55" i="17"/>
  <c r="L56" i="17"/>
  <c r="M56" i="17" s="1"/>
  <c r="L57" i="17"/>
  <c r="L58" i="17"/>
  <c r="L59" i="17"/>
  <c r="M59" i="17" s="1"/>
  <c r="L60" i="17"/>
  <c r="M60" i="17" s="1"/>
  <c r="L61" i="17"/>
  <c r="M61" i="17" s="1"/>
  <c r="L62" i="17"/>
  <c r="L63" i="17"/>
  <c r="L64" i="17"/>
  <c r="M64" i="17" s="1"/>
  <c r="L65" i="17"/>
  <c r="L66" i="17"/>
  <c r="L68" i="17"/>
  <c r="M68" i="17" s="1"/>
  <c r="L69" i="17"/>
  <c r="M69" i="17" s="1"/>
  <c r="L71" i="17"/>
  <c r="M71" i="17" s="1"/>
  <c r="M70" i="17" s="1"/>
  <c r="L72" i="17"/>
  <c r="L73" i="17"/>
  <c r="L75" i="17"/>
  <c r="M75" i="17" s="1"/>
  <c r="M74" i="17" s="1"/>
  <c r="O15" i="17"/>
  <c r="N15" i="17"/>
  <c r="L15" i="17"/>
  <c r="M15" i="17" s="1"/>
  <c r="O16" i="16"/>
  <c r="O17" i="16"/>
  <c r="O18" i="16"/>
  <c r="O19" i="16"/>
  <c r="O20" i="16"/>
  <c r="O21" i="16"/>
  <c r="O22" i="16"/>
  <c r="O23" i="16"/>
  <c r="O24" i="16"/>
  <c r="O25" i="16"/>
  <c r="O26" i="16"/>
  <c r="O27" i="16"/>
  <c r="O28" i="16"/>
  <c r="O29" i="16"/>
  <c r="O30" i="16"/>
  <c r="O31" i="16"/>
  <c r="O32" i="16"/>
  <c r="O33" i="16"/>
  <c r="O34" i="16"/>
  <c r="O35" i="16"/>
  <c r="O36" i="16"/>
  <c r="O37" i="16"/>
  <c r="O38" i="16"/>
  <c r="O39" i="16"/>
  <c r="O40" i="16"/>
  <c r="O41" i="16"/>
  <c r="O42" i="16"/>
  <c r="O43" i="16"/>
  <c r="O44" i="16"/>
  <c r="O45" i="16"/>
  <c r="O46" i="16"/>
  <c r="O47" i="16"/>
  <c r="O49" i="16"/>
  <c r="O50" i="16"/>
  <c r="O52" i="16"/>
  <c r="O53" i="16"/>
  <c r="O54" i="16"/>
  <c r="O55" i="16"/>
  <c r="O56" i="16"/>
  <c r="O57" i="16"/>
  <c r="O58" i="16"/>
  <c r="O59" i="16"/>
  <c r="O60" i="16"/>
  <c r="O61" i="16"/>
  <c r="O63" i="16"/>
  <c r="O64" i="16"/>
  <c r="O65" i="16"/>
  <c r="O66" i="16"/>
  <c r="O67" i="16"/>
  <c r="O69" i="16"/>
  <c r="O70" i="16"/>
  <c r="O71" i="16"/>
  <c r="O72" i="16"/>
  <c r="O73" i="16"/>
  <c r="O74" i="16"/>
  <c r="O75" i="16"/>
  <c r="O76" i="16"/>
  <c r="O77" i="16"/>
  <c r="O78" i="16"/>
  <c r="O79" i="16"/>
  <c r="O80" i="16"/>
  <c r="O81" i="16"/>
  <c r="O82" i="16"/>
  <c r="O83" i="16"/>
  <c r="O84" i="16"/>
  <c r="O85" i="16"/>
  <c r="O86" i="16"/>
  <c r="O87" i="16"/>
  <c r="O88" i="16"/>
  <c r="O89" i="16"/>
  <c r="O90" i="16"/>
  <c r="O91" i="16"/>
  <c r="O92" i="16"/>
  <c r="O93" i="16"/>
  <c r="O95" i="16"/>
  <c r="O96" i="16"/>
  <c r="O98" i="16"/>
  <c r="O99" i="16"/>
  <c r="O100" i="16"/>
  <c r="O102" i="16"/>
  <c r="N16" i="16"/>
  <c r="P16" i="16" s="1"/>
  <c r="N17" i="16"/>
  <c r="P17" i="16" s="1"/>
  <c r="N18" i="16"/>
  <c r="P18" i="16" s="1"/>
  <c r="N19" i="16"/>
  <c r="P19" i="16" s="1"/>
  <c r="N20" i="16"/>
  <c r="P20" i="16" s="1"/>
  <c r="N21" i="16"/>
  <c r="P21" i="16" s="1"/>
  <c r="N22" i="16"/>
  <c r="P22" i="16" s="1"/>
  <c r="N23" i="16"/>
  <c r="P23" i="16" s="1"/>
  <c r="N24" i="16"/>
  <c r="P24" i="16" s="1"/>
  <c r="N25" i="16"/>
  <c r="P25" i="16" s="1"/>
  <c r="N26" i="16"/>
  <c r="P26" i="16" s="1"/>
  <c r="N27" i="16"/>
  <c r="P27" i="16" s="1"/>
  <c r="N28" i="16"/>
  <c r="P28" i="16" s="1"/>
  <c r="N29" i="16"/>
  <c r="P29" i="16" s="1"/>
  <c r="N30" i="16"/>
  <c r="P30" i="16" s="1"/>
  <c r="N31" i="16"/>
  <c r="P31" i="16" s="1"/>
  <c r="N32" i="16"/>
  <c r="P32" i="16" s="1"/>
  <c r="N33" i="16"/>
  <c r="P33" i="16" s="1"/>
  <c r="N34" i="16"/>
  <c r="P34" i="16" s="1"/>
  <c r="N35" i="16"/>
  <c r="P35" i="16" s="1"/>
  <c r="N36" i="16"/>
  <c r="P36" i="16" s="1"/>
  <c r="N37" i="16"/>
  <c r="P37" i="16" s="1"/>
  <c r="N38" i="16"/>
  <c r="P38" i="16" s="1"/>
  <c r="N39" i="16"/>
  <c r="P39" i="16" s="1"/>
  <c r="N40" i="16"/>
  <c r="P40" i="16" s="1"/>
  <c r="N41" i="16"/>
  <c r="P41" i="16" s="1"/>
  <c r="N42" i="16"/>
  <c r="P42" i="16" s="1"/>
  <c r="N43" i="16"/>
  <c r="P43" i="16" s="1"/>
  <c r="N44" i="16"/>
  <c r="P44" i="16" s="1"/>
  <c r="N45" i="16"/>
  <c r="P45" i="16" s="1"/>
  <c r="N46" i="16"/>
  <c r="P46" i="16" s="1"/>
  <c r="N47" i="16"/>
  <c r="P47" i="16" s="1"/>
  <c r="N49" i="16"/>
  <c r="P49" i="16" s="1"/>
  <c r="N50" i="16"/>
  <c r="P50" i="16" s="1"/>
  <c r="N52" i="16"/>
  <c r="P52" i="16" s="1"/>
  <c r="N53" i="16"/>
  <c r="P53" i="16" s="1"/>
  <c r="N54" i="16"/>
  <c r="P54" i="16" s="1"/>
  <c r="N55" i="16"/>
  <c r="P55" i="16" s="1"/>
  <c r="N56" i="16"/>
  <c r="P56" i="16" s="1"/>
  <c r="N57" i="16"/>
  <c r="P57" i="16" s="1"/>
  <c r="N58" i="16"/>
  <c r="P58" i="16" s="1"/>
  <c r="N59" i="16"/>
  <c r="P59" i="16" s="1"/>
  <c r="N60" i="16"/>
  <c r="P60" i="16" s="1"/>
  <c r="N61" i="16"/>
  <c r="P61" i="16" s="1"/>
  <c r="N63" i="16"/>
  <c r="P63" i="16" s="1"/>
  <c r="N64" i="16"/>
  <c r="P64" i="16" s="1"/>
  <c r="N65" i="16"/>
  <c r="P65" i="16" s="1"/>
  <c r="N66" i="16"/>
  <c r="P66" i="16" s="1"/>
  <c r="N67" i="16"/>
  <c r="P67" i="16" s="1"/>
  <c r="N69" i="16"/>
  <c r="P69" i="16" s="1"/>
  <c r="N70" i="16"/>
  <c r="P70" i="16" s="1"/>
  <c r="N71" i="16"/>
  <c r="P71" i="16" s="1"/>
  <c r="N72" i="16"/>
  <c r="P72" i="16" s="1"/>
  <c r="N73" i="16"/>
  <c r="P73" i="16" s="1"/>
  <c r="N74" i="16"/>
  <c r="P74" i="16" s="1"/>
  <c r="N75" i="16"/>
  <c r="P75" i="16" s="1"/>
  <c r="N76" i="16"/>
  <c r="P76" i="16" s="1"/>
  <c r="N77" i="16"/>
  <c r="P77" i="16" s="1"/>
  <c r="N78" i="16"/>
  <c r="P78" i="16" s="1"/>
  <c r="N79" i="16"/>
  <c r="P79" i="16" s="1"/>
  <c r="N80" i="16"/>
  <c r="P80" i="16" s="1"/>
  <c r="N81" i="16"/>
  <c r="P81" i="16" s="1"/>
  <c r="N82" i="16"/>
  <c r="P82" i="16" s="1"/>
  <c r="N83" i="16"/>
  <c r="P83" i="16" s="1"/>
  <c r="N84" i="16"/>
  <c r="P84" i="16" s="1"/>
  <c r="N85" i="16"/>
  <c r="P85" i="16" s="1"/>
  <c r="N86" i="16"/>
  <c r="P86" i="16" s="1"/>
  <c r="N87" i="16"/>
  <c r="P87" i="16" s="1"/>
  <c r="N88" i="16"/>
  <c r="P88" i="16" s="1"/>
  <c r="N89" i="16"/>
  <c r="P89" i="16" s="1"/>
  <c r="N90" i="16"/>
  <c r="P90" i="16" s="1"/>
  <c r="N91" i="16"/>
  <c r="P91" i="16" s="1"/>
  <c r="N92" i="16"/>
  <c r="P92" i="16" s="1"/>
  <c r="N93" i="16"/>
  <c r="P93" i="16" s="1"/>
  <c r="N95" i="16"/>
  <c r="P95" i="16" s="1"/>
  <c r="P94" i="16" s="1"/>
  <c r="N96" i="16"/>
  <c r="P96" i="16" s="1"/>
  <c r="N98" i="16"/>
  <c r="P98" i="16" s="1"/>
  <c r="N99" i="16"/>
  <c r="P99" i="16" s="1"/>
  <c r="N100" i="16"/>
  <c r="P100" i="16" s="1"/>
  <c r="N102" i="16"/>
  <c r="P102" i="16" s="1"/>
  <c r="P101" i="16" s="1"/>
  <c r="O15" i="16"/>
  <c r="N15" i="16"/>
  <c r="L16" i="16"/>
  <c r="M16" i="16" s="1"/>
  <c r="L17" i="16"/>
  <c r="M17" i="16" s="1"/>
  <c r="L18" i="16"/>
  <c r="M18" i="16" s="1"/>
  <c r="L19" i="16"/>
  <c r="M19" i="16" s="1"/>
  <c r="L20" i="16"/>
  <c r="M20" i="16" s="1"/>
  <c r="L21" i="16"/>
  <c r="M21" i="16" s="1"/>
  <c r="L22" i="16"/>
  <c r="M22" i="16" s="1"/>
  <c r="L23" i="16"/>
  <c r="M23" i="16" s="1"/>
  <c r="L24" i="16"/>
  <c r="M24" i="16" s="1"/>
  <c r="L25" i="16"/>
  <c r="M25" i="16" s="1"/>
  <c r="L26" i="16"/>
  <c r="M26" i="16" s="1"/>
  <c r="L27" i="16"/>
  <c r="M27" i="16" s="1"/>
  <c r="L28" i="16"/>
  <c r="M28" i="16" s="1"/>
  <c r="L29" i="16"/>
  <c r="M29" i="16" s="1"/>
  <c r="L30" i="16"/>
  <c r="M30" i="16" s="1"/>
  <c r="L31" i="16"/>
  <c r="M31" i="16" s="1"/>
  <c r="L32" i="16"/>
  <c r="M32" i="16" s="1"/>
  <c r="L33" i="16"/>
  <c r="M33" i="16" s="1"/>
  <c r="L34" i="16"/>
  <c r="M34" i="16" s="1"/>
  <c r="L35" i="16"/>
  <c r="M35" i="16" s="1"/>
  <c r="L36" i="16"/>
  <c r="M36" i="16" s="1"/>
  <c r="L37" i="16"/>
  <c r="M37" i="16" s="1"/>
  <c r="L38" i="16"/>
  <c r="M38" i="16" s="1"/>
  <c r="L39" i="16"/>
  <c r="M39" i="16" s="1"/>
  <c r="L40" i="16"/>
  <c r="M40" i="16" s="1"/>
  <c r="L41" i="16"/>
  <c r="M41" i="16" s="1"/>
  <c r="L42" i="16"/>
  <c r="M42" i="16" s="1"/>
  <c r="L43" i="16"/>
  <c r="M43" i="16" s="1"/>
  <c r="L44" i="16"/>
  <c r="M44" i="16" s="1"/>
  <c r="L45" i="16"/>
  <c r="M45" i="16" s="1"/>
  <c r="L46" i="16"/>
  <c r="M46" i="16" s="1"/>
  <c r="L47" i="16"/>
  <c r="M47" i="16" s="1"/>
  <c r="L49" i="16"/>
  <c r="M49" i="16" s="1"/>
  <c r="L50" i="16"/>
  <c r="M50" i="16" s="1"/>
  <c r="L52" i="16"/>
  <c r="M52" i="16" s="1"/>
  <c r="L53" i="16"/>
  <c r="M53" i="16" s="1"/>
  <c r="L54" i="16"/>
  <c r="M54" i="16" s="1"/>
  <c r="L55" i="16"/>
  <c r="M55" i="16" s="1"/>
  <c r="L56" i="16"/>
  <c r="M56" i="16" s="1"/>
  <c r="L57" i="16"/>
  <c r="M57" i="16" s="1"/>
  <c r="L58" i="16"/>
  <c r="M58" i="16" s="1"/>
  <c r="L59" i="16"/>
  <c r="M59" i="16" s="1"/>
  <c r="L60" i="16"/>
  <c r="M60" i="16" s="1"/>
  <c r="L61" i="16"/>
  <c r="M61" i="16" s="1"/>
  <c r="L63" i="16"/>
  <c r="M63" i="16" s="1"/>
  <c r="L64" i="16"/>
  <c r="M64" i="16" s="1"/>
  <c r="L65" i="16"/>
  <c r="M65" i="16" s="1"/>
  <c r="L66" i="16"/>
  <c r="M66" i="16" s="1"/>
  <c r="L67" i="16"/>
  <c r="M67" i="16" s="1"/>
  <c r="L69" i="16"/>
  <c r="M69" i="16" s="1"/>
  <c r="L70" i="16"/>
  <c r="M70" i="16" s="1"/>
  <c r="L71" i="16"/>
  <c r="M71" i="16" s="1"/>
  <c r="L72" i="16"/>
  <c r="M72" i="16" s="1"/>
  <c r="L73" i="16"/>
  <c r="M73" i="16" s="1"/>
  <c r="L74" i="16"/>
  <c r="M74" i="16" s="1"/>
  <c r="L75" i="16"/>
  <c r="M75" i="16" s="1"/>
  <c r="L76" i="16"/>
  <c r="M76" i="16" s="1"/>
  <c r="L77" i="16"/>
  <c r="M77" i="16" s="1"/>
  <c r="L78" i="16"/>
  <c r="M78" i="16" s="1"/>
  <c r="L79" i="16"/>
  <c r="M79" i="16" s="1"/>
  <c r="L80" i="16"/>
  <c r="M80" i="16" s="1"/>
  <c r="L81" i="16"/>
  <c r="M81" i="16" s="1"/>
  <c r="L82" i="16"/>
  <c r="M82" i="16" s="1"/>
  <c r="L83" i="16"/>
  <c r="M83" i="16" s="1"/>
  <c r="L84" i="16"/>
  <c r="M84" i="16" s="1"/>
  <c r="L85" i="16"/>
  <c r="M85" i="16" s="1"/>
  <c r="L86" i="16"/>
  <c r="M86" i="16" s="1"/>
  <c r="L87" i="16"/>
  <c r="M87" i="16" s="1"/>
  <c r="L88" i="16"/>
  <c r="M88" i="16" s="1"/>
  <c r="L89" i="16"/>
  <c r="M89" i="16" s="1"/>
  <c r="L90" i="16"/>
  <c r="M90" i="16" s="1"/>
  <c r="L91" i="16"/>
  <c r="M91" i="16" s="1"/>
  <c r="L92" i="16"/>
  <c r="M92" i="16" s="1"/>
  <c r="L93" i="16"/>
  <c r="M93" i="16" s="1"/>
  <c r="L95" i="16"/>
  <c r="M95" i="16" s="1"/>
  <c r="M94" i="16" s="1"/>
  <c r="L96" i="16"/>
  <c r="M96" i="16" s="1"/>
  <c r="L98" i="16"/>
  <c r="M98" i="16" s="1"/>
  <c r="L99" i="16"/>
  <c r="M99" i="16" s="1"/>
  <c r="L100" i="16"/>
  <c r="M100" i="16" s="1"/>
  <c r="L102" i="16"/>
  <c r="M102" i="16" s="1"/>
  <c r="M101" i="16" s="1"/>
  <c r="M15" i="16"/>
  <c r="L15" i="16"/>
  <c r="P74" i="15"/>
  <c r="P47" i="15"/>
  <c r="P16" i="15"/>
  <c r="P17" i="15"/>
  <c r="P40" i="15"/>
  <c r="P41" i="15"/>
  <c r="P42" i="15"/>
  <c r="P43" i="15"/>
  <c r="P44" i="15"/>
  <c r="P46" i="15"/>
  <c r="P48" i="15"/>
  <c r="P49" i="15"/>
  <c r="P50" i="15"/>
  <c r="P51" i="15"/>
  <c r="P52" i="15"/>
  <c r="P56" i="15"/>
  <c r="P57" i="15"/>
  <c r="P58" i="15"/>
  <c r="P59" i="15"/>
  <c r="P60" i="15"/>
  <c r="P61" i="15"/>
  <c r="P63" i="15"/>
  <c r="P64" i="15"/>
  <c r="P65" i="15"/>
  <c r="P66" i="15"/>
  <c r="P67" i="15"/>
  <c r="P68" i="15"/>
  <c r="P69" i="15"/>
  <c r="P70" i="15"/>
  <c r="P71" i="15"/>
  <c r="P72" i="15"/>
  <c r="P73" i="15"/>
  <c r="P75" i="15"/>
  <c r="P76" i="15"/>
  <c r="P79" i="15"/>
  <c r="O16" i="15"/>
  <c r="O17" i="15"/>
  <c r="O18" i="15"/>
  <c r="O19" i="15"/>
  <c r="O20" i="15"/>
  <c r="O21" i="15"/>
  <c r="O22" i="15"/>
  <c r="O23" i="15"/>
  <c r="O24" i="15"/>
  <c r="O25" i="15"/>
  <c r="O26" i="15"/>
  <c r="O27" i="15"/>
  <c r="O28" i="15"/>
  <c r="O29" i="15"/>
  <c r="O30" i="15"/>
  <c r="O31" i="15"/>
  <c r="O32" i="15"/>
  <c r="O33" i="15"/>
  <c r="O34" i="15"/>
  <c r="O35" i="15"/>
  <c r="O37" i="15"/>
  <c r="O38" i="15"/>
  <c r="O40" i="15"/>
  <c r="O41" i="15"/>
  <c r="O42" i="15"/>
  <c r="O43" i="15"/>
  <c r="O44" i="15"/>
  <c r="O45" i="15"/>
  <c r="O46" i="15"/>
  <c r="O48" i="15"/>
  <c r="O49" i="15"/>
  <c r="O50" i="15"/>
  <c r="O51" i="15"/>
  <c r="O52" i="15"/>
  <c r="O54" i="15"/>
  <c r="O55" i="15"/>
  <c r="O56" i="15"/>
  <c r="O57" i="15"/>
  <c r="O58" i="15"/>
  <c r="O59" i="15"/>
  <c r="O60" i="15"/>
  <c r="O61" i="15"/>
  <c r="O62" i="15"/>
  <c r="O63" i="15"/>
  <c r="O64" i="15"/>
  <c r="O65" i="15"/>
  <c r="O66" i="15"/>
  <c r="O67" i="15"/>
  <c r="O68" i="15"/>
  <c r="O69" i="15"/>
  <c r="O70" i="15"/>
  <c r="O71" i="15"/>
  <c r="O72" i="15"/>
  <c r="O73" i="15"/>
  <c r="O75" i="15"/>
  <c r="O76" i="15"/>
  <c r="O78" i="15"/>
  <c r="O79" i="15"/>
  <c r="O80" i="15"/>
  <c r="O82" i="15"/>
  <c r="N16" i="15"/>
  <c r="N17" i="15"/>
  <c r="N18" i="15"/>
  <c r="P18" i="15" s="1"/>
  <c r="N19" i="15"/>
  <c r="P19" i="15" s="1"/>
  <c r="N20" i="15"/>
  <c r="P20" i="15" s="1"/>
  <c r="N21" i="15"/>
  <c r="P21" i="15" s="1"/>
  <c r="N22" i="15"/>
  <c r="P22" i="15" s="1"/>
  <c r="N23" i="15"/>
  <c r="P23" i="15" s="1"/>
  <c r="N24" i="15"/>
  <c r="P24" i="15" s="1"/>
  <c r="N25" i="15"/>
  <c r="P25" i="15" s="1"/>
  <c r="N27" i="15"/>
  <c r="P27" i="15" s="1"/>
  <c r="N28" i="15"/>
  <c r="P28" i="15" s="1"/>
  <c r="N29" i="15"/>
  <c r="P29" i="15" s="1"/>
  <c r="N30" i="15"/>
  <c r="P30" i="15" s="1"/>
  <c r="N31" i="15"/>
  <c r="P31" i="15" s="1"/>
  <c r="N32" i="15"/>
  <c r="P32" i="15" s="1"/>
  <c r="N33" i="15"/>
  <c r="P33" i="15" s="1"/>
  <c r="N35" i="15"/>
  <c r="P35" i="15" s="1"/>
  <c r="N37" i="15"/>
  <c r="P37" i="15" s="1"/>
  <c r="N38" i="15"/>
  <c r="P38" i="15" s="1"/>
  <c r="N40" i="15"/>
  <c r="N41" i="15"/>
  <c r="N42" i="15"/>
  <c r="N43" i="15"/>
  <c r="N44" i="15"/>
  <c r="N45" i="15"/>
  <c r="P45" i="15" s="1"/>
  <c r="N46" i="15"/>
  <c r="N48" i="15"/>
  <c r="N49" i="15"/>
  <c r="N50" i="15"/>
  <c r="N51" i="15"/>
  <c r="N52" i="15"/>
  <c r="N54" i="15"/>
  <c r="P54" i="15" s="1"/>
  <c r="N55" i="15"/>
  <c r="P55" i="15" s="1"/>
  <c r="N56" i="15"/>
  <c r="N57" i="15"/>
  <c r="N58" i="15"/>
  <c r="N59" i="15"/>
  <c r="N60" i="15"/>
  <c r="N61" i="15"/>
  <c r="N62" i="15"/>
  <c r="P62" i="15" s="1"/>
  <c r="N63" i="15"/>
  <c r="N64" i="15"/>
  <c r="N65" i="15"/>
  <c r="N66" i="15"/>
  <c r="N67" i="15"/>
  <c r="N68" i="15"/>
  <c r="N69" i="15"/>
  <c r="N70" i="15"/>
  <c r="N71" i="15"/>
  <c r="N72" i="15"/>
  <c r="N73" i="15"/>
  <c r="N75" i="15"/>
  <c r="N76" i="15"/>
  <c r="N78" i="15"/>
  <c r="P78" i="15" s="1"/>
  <c r="N79" i="15"/>
  <c r="N80" i="15"/>
  <c r="P80" i="15" s="1"/>
  <c r="N82" i="15"/>
  <c r="P82" i="15" s="1"/>
  <c r="L16" i="15"/>
  <c r="L17" i="15"/>
  <c r="L18" i="15"/>
  <c r="L19" i="15"/>
  <c r="L20" i="15"/>
  <c r="L21" i="15"/>
  <c r="L22" i="15"/>
  <c r="L23" i="15"/>
  <c r="L24" i="15"/>
  <c r="L25" i="15"/>
  <c r="L26" i="15"/>
  <c r="L27" i="15"/>
  <c r="L28" i="15"/>
  <c r="L29" i="15"/>
  <c r="L30" i="15"/>
  <c r="L31" i="15"/>
  <c r="L32" i="15"/>
  <c r="L33" i="15"/>
  <c r="L34" i="15"/>
  <c r="L35" i="15"/>
  <c r="L37" i="15"/>
  <c r="L38" i="15"/>
  <c r="L40" i="15"/>
  <c r="L41" i="15"/>
  <c r="L42" i="15"/>
  <c r="L43" i="15"/>
  <c r="L44" i="15"/>
  <c r="L45" i="15"/>
  <c r="L46" i="15"/>
  <c r="L48" i="15"/>
  <c r="L49" i="15"/>
  <c r="L50" i="15"/>
  <c r="L51" i="15"/>
  <c r="L52" i="15"/>
  <c r="L54" i="15"/>
  <c r="L55" i="15"/>
  <c r="L56" i="15"/>
  <c r="L57" i="15"/>
  <c r="L58" i="15"/>
  <c r="L59" i="15"/>
  <c r="L60" i="15"/>
  <c r="L61" i="15"/>
  <c r="L62" i="15"/>
  <c r="L63" i="15"/>
  <c r="L64" i="15"/>
  <c r="L65" i="15"/>
  <c r="L66" i="15"/>
  <c r="L67" i="15"/>
  <c r="L68" i="15"/>
  <c r="L69" i="15"/>
  <c r="L70" i="15"/>
  <c r="L71" i="15"/>
  <c r="L72" i="15"/>
  <c r="L73" i="15"/>
  <c r="L75" i="15"/>
  <c r="L76" i="15"/>
  <c r="L78" i="15"/>
  <c r="L79" i="15"/>
  <c r="L80" i="15"/>
  <c r="L82" i="15"/>
  <c r="O15" i="15"/>
  <c r="N15" i="15"/>
  <c r="P15" i="15" s="1"/>
  <c r="L15" i="15"/>
  <c r="P44" i="14"/>
  <c r="M44" i="14"/>
  <c r="P72" i="14"/>
  <c r="M72" i="14"/>
  <c r="P40" i="14"/>
  <c r="P41" i="14"/>
  <c r="P45" i="14"/>
  <c r="P46" i="14"/>
  <c r="P47" i="14"/>
  <c r="P48" i="14"/>
  <c r="P49" i="14"/>
  <c r="P53" i="14"/>
  <c r="P54" i="14"/>
  <c r="P55" i="14"/>
  <c r="P56" i="14"/>
  <c r="P57" i="14"/>
  <c r="P58" i="14"/>
  <c r="P60" i="14"/>
  <c r="P61" i="14"/>
  <c r="P62" i="14"/>
  <c r="P63" i="14"/>
  <c r="P64" i="14"/>
  <c r="P65" i="14"/>
  <c r="P66" i="14"/>
  <c r="P67" i="14"/>
  <c r="P68" i="14"/>
  <c r="P69" i="14"/>
  <c r="P70" i="14"/>
  <c r="P73" i="14"/>
  <c r="P74" i="14"/>
  <c r="P77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7" i="14"/>
  <c r="O38" i="14"/>
  <c r="O40" i="14"/>
  <c r="O41" i="14"/>
  <c r="O42" i="14"/>
  <c r="O43" i="14"/>
  <c r="O45" i="14"/>
  <c r="O46" i="14"/>
  <c r="O47" i="14"/>
  <c r="O48" i="14"/>
  <c r="O49" i="14"/>
  <c r="O51" i="14"/>
  <c r="O52" i="14"/>
  <c r="O53" i="14"/>
  <c r="O54" i="14"/>
  <c r="O55" i="14"/>
  <c r="O56" i="14"/>
  <c r="O57" i="14"/>
  <c r="O58" i="14"/>
  <c r="O59" i="14"/>
  <c r="O60" i="14"/>
  <c r="O61" i="14"/>
  <c r="O62" i="14"/>
  <c r="O63" i="14"/>
  <c r="O64" i="14"/>
  <c r="O65" i="14"/>
  <c r="O66" i="14"/>
  <c r="O67" i="14"/>
  <c r="O68" i="14"/>
  <c r="O69" i="14"/>
  <c r="O70" i="14"/>
  <c r="O71" i="14"/>
  <c r="O73" i="14"/>
  <c r="O74" i="14"/>
  <c r="O76" i="14"/>
  <c r="O77" i="14"/>
  <c r="O78" i="14"/>
  <c r="O80" i="14"/>
  <c r="N16" i="14"/>
  <c r="P16" i="14" s="1"/>
  <c r="N17" i="14"/>
  <c r="P17" i="14" s="1"/>
  <c r="N20" i="14"/>
  <c r="P20" i="14" s="1"/>
  <c r="N21" i="14"/>
  <c r="P21" i="14" s="1"/>
  <c r="N25" i="14"/>
  <c r="P25" i="14" s="1"/>
  <c r="N27" i="14"/>
  <c r="P27" i="14" s="1"/>
  <c r="N28" i="14"/>
  <c r="P28" i="14" s="1"/>
  <c r="N29" i="14"/>
  <c r="P29" i="14" s="1"/>
  <c r="N33" i="14"/>
  <c r="P33" i="14" s="1"/>
  <c r="N35" i="14"/>
  <c r="P35" i="14" s="1"/>
  <c r="N37" i="14"/>
  <c r="P37" i="14" s="1"/>
  <c r="N40" i="14"/>
  <c r="N41" i="14"/>
  <c r="N43" i="14"/>
  <c r="P43" i="14" s="1"/>
  <c r="N45" i="14"/>
  <c r="N46" i="14"/>
  <c r="N47" i="14"/>
  <c r="N48" i="14"/>
  <c r="N49" i="14"/>
  <c r="N53" i="14"/>
  <c r="N54" i="14"/>
  <c r="N55" i="14"/>
  <c r="N56" i="14"/>
  <c r="N57" i="14"/>
  <c r="N58" i="14"/>
  <c r="N60" i="14"/>
  <c r="N61" i="14"/>
  <c r="N62" i="14"/>
  <c r="N63" i="14"/>
  <c r="N64" i="14"/>
  <c r="N65" i="14"/>
  <c r="N66" i="14"/>
  <c r="N67" i="14"/>
  <c r="N68" i="14"/>
  <c r="N69" i="14"/>
  <c r="N70" i="14"/>
  <c r="N73" i="14"/>
  <c r="N74" i="14"/>
  <c r="N76" i="14"/>
  <c r="P76" i="14" s="1"/>
  <c r="N77" i="14"/>
  <c r="M16" i="14"/>
  <c r="M17" i="14"/>
  <c r="M20" i="14"/>
  <c r="M21" i="14"/>
  <c r="M25" i="14"/>
  <c r="M27" i="14"/>
  <c r="M28" i="14"/>
  <c r="M29" i="14"/>
  <c r="M30" i="14"/>
  <c r="M33" i="14"/>
  <c r="M35" i="14"/>
  <c r="M37" i="14"/>
  <c r="M40" i="14"/>
  <c r="M41" i="14"/>
  <c r="M43" i="14"/>
  <c r="M45" i="14"/>
  <c r="M46" i="14"/>
  <c r="M47" i="14"/>
  <c r="M48" i="14"/>
  <c r="M49" i="14"/>
  <c r="M53" i="14"/>
  <c r="M54" i="14"/>
  <c r="M55" i="14"/>
  <c r="M56" i="14"/>
  <c r="M57" i="14"/>
  <c r="M58" i="14"/>
  <c r="M60" i="14"/>
  <c r="M61" i="14"/>
  <c r="M62" i="14"/>
  <c r="M63" i="14"/>
  <c r="M64" i="14"/>
  <c r="M65" i="14"/>
  <c r="M66" i="14"/>
  <c r="M67" i="14"/>
  <c r="M68" i="14"/>
  <c r="M69" i="14"/>
  <c r="M70" i="14"/>
  <c r="M73" i="14"/>
  <c r="M74" i="14"/>
  <c r="M76" i="14"/>
  <c r="M77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7" i="14"/>
  <c r="L38" i="14"/>
  <c r="L40" i="14"/>
  <c r="L41" i="14"/>
  <c r="L42" i="14"/>
  <c r="L43" i="14"/>
  <c r="L45" i="14"/>
  <c r="L46" i="14"/>
  <c r="L47" i="14"/>
  <c r="L48" i="14"/>
  <c r="L49" i="14"/>
  <c r="L51" i="14"/>
  <c r="L52" i="14"/>
  <c r="L53" i="14"/>
  <c r="L54" i="14"/>
  <c r="L55" i="14"/>
  <c r="L56" i="14"/>
  <c r="L57" i="14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3" i="14"/>
  <c r="L74" i="14"/>
  <c r="L76" i="14"/>
  <c r="L77" i="14"/>
  <c r="L78" i="14"/>
  <c r="L80" i="14"/>
  <c r="O15" i="14"/>
  <c r="N15" i="14"/>
  <c r="P15" i="14" s="1"/>
  <c r="M15" i="14"/>
  <c r="L15" i="14"/>
  <c r="O16" i="13"/>
  <c r="O17" i="13"/>
  <c r="O18" i="13"/>
  <c r="O19" i="13"/>
  <c r="O20" i="13"/>
  <c r="O21" i="13"/>
  <c r="O22" i="13"/>
  <c r="O23" i="13"/>
  <c r="O24" i="13"/>
  <c r="O25" i="13"/>
  <c r="O26" i="13"/>
  <c r="O27" i="13"/>
  <c r="O28" i="13"/>
  <c r="O29" i="13"/>
  <c r="O30" i="13"/>
  <c r="O31" i="13"/>
  <c r="O32" i="13"/>
  <c r="O33" i="13"/>
  <c r="O34" i="13"/>
  <c r="O35" i="13"/>
  <c r="O36" i="13"/>
  <c r="O37" i="13"/>
  <c r="O38" i="13"/>
  <c r="O40" i="13"/>
  <c r="O41" i="13"/>
  <c r="O43" i="13"/>
  <c r="O44" i="13"/>
  <c r="O45" i="13"/>
  <c r="O46" i="13"/>
  <c r="P46" i="13" s="1"/>
  <c r="O47" i="13"/>
  <c r="O48" i="13"/>
  <c r="O49" i="13"/>
  <c r="O51" i="13"/>
  <c r="O52" i="13"/>
  <c r="O53" i="13"/>
  <c r="O54" i="13"/>
  <c r="O55" i="13"/>
  <c r="P55" i="13" s="1"/>
  <c r="O57" i="13"/>
  <c r="O58" i="13"/>
  <c r="O59" i="13"/>
  <c r="O60" i="13"/>
  <c r="O61" i="13"/>
  <c r="O62" i="13"/>
  <c r="O63" i="13"/>
  <c r="O64" i="13"/>
  <c r="P64" i="13" s="1"/>
  <c r="O65" i="13"/>
  <c r="O66" i="13"/>
  <c r="O67" i="13"/>
  <c r="O68" i="13"/>
  <c r="O69" i="13"/>
  <c r="O70" i="13"/>
  <c r="O71" i="13"/>
  <c r="O72" i="13"/>
  <c r="P72" i="13" s="1"/>
  <c r="O73" i="13"/>
  <c r="O74" i="13"/>
  <c r="O75" i="13"/>
  <c r="O76" i="13"/>
  <c r="O78" i="13"/>
  <c r="O79" i="13"/>
  <c r="O81" i="13"/>
  <c r="O82" i="13"/>
  <c r="P82" i="13" s="1"/>
  <c r="O83" i="13"/>
  <c r="O85" i="13"/>
  <c r="N16" i="13"/>
  <c r="P16" i="13" s="1"/>
  <c r="N17" i="13"/>
  <c r="P17" i="13" s="1"/>
  <c r="N25" i="13"/>
  <c r="P25" i="13" s="1"/>
  <c r="N33" i="13"/>
  <c r="P33" i="13" s="1"/>
  <c r="N41" i="13"/>
  <c r="P41" i="13" s="1"/>
  <c r="N43" i="13"/>
  <c r="P43" i="13" s="1"/>
  <c r="N44" i="13"/>
  <c r="P44" i="13" s="1"/>
  <c r="N45" i="13"/>
  <c r="P45" i="13" s="1"/>
  <c r="N46" i="13"/>
  <c r="N47" i="13"/>
  <c r="P47" i="13" s="1"/>
  <c r="N48" i="13"/>
  <c r="P48" i="13" s="1"/>
  <c r="N51" i="13"/>
  <c r="P51" i="13" s="1"/>
  <c r="N52" i="13"/>
  <c r="P52" i="13" s="1"/>
  <c r="N53" i="13"/>
  <c r="P53" i="13" s="1"/>
  <c r="N54" i="13"/>
  <c r="P54" i="13" s="1"/>
  <c r="N55" i="13"/>
  <c r="N57" i="13"/>
  <c r="P57" i="13" s="1"/>
  <c r="N59" i="13"/>
  <c r="P59" i="13" s="1"/>
  <c r="N60" i="13"/>
  <c r="P60" i="13" s="1"/>
  <c r="N61" i="13"/>
  <c r="P61" i="13" s="1"/>
  <c r="N62" i="13"/>
  <c r="P62" i="13" s="1"/>
  <c r="N63" i="13"/>
  <c r="P63" i="13" s="1"/>
  <c r="N64" i="13"/>
  <c r="N65" i="13"/>
  <c r="P65" i="13" s="1"/>
  <c r="N66" i="13"/>
  <c r="P66" i="13" s="1"/>
  <c r="N67" i="13"/>
  <c r="P67" i="13" s="1"/>
  <c r="N68" i="13"/>
  <c r="P68" i="13" s="1"/>
  <c r="N69" i="13"/>
  <c r="P69" i="13" s="1"/>
  <c r="N70" i="13"/>
  <c r="P70" i="13" s="1"/>
  <c r="N71" i="13"/>
  <c r="P71" i="13" s="1"/>
  <c r="N72" i="13"/>
  <c r="N73" i="13"/>
  <c r="P73" i="13" s="1"/>
  <c r="N74" i="13"/>
  <c r="P74" i="13" s="1"/>
  <c r="N75" i="13"/>
  <c r="P75" i="13" s="1"/>
  <c r="N78" i="13"/>
  <c r="P78" i="13" s="1"/>
  <c r="N79" i="13"/>
  <c r="P79" i="13" s="1"/>
  <c r="N82" i="13"/>
  <c r="N85" i="13"/>
  <c r="P85" i="13" s="1"/>
  <c r="P84" i="13" s="1"/>
  <c r="O15" i="13"/>
  <c r="N15" i="13"/>
  <c r="P15" i="13" s="1"/>
  <c r="M46" i="13"/>
  <c r="M55" i="13"/>
  <c r="M64" i="13"/>
  <c r="M72" i="13"/>
  <c r="M82" i="13"/>
  <c r="L16" i="13"/>
  <c r="M16" i="13" s="1"/>
  <c r="L17" i="13"/>
  <c r="M17" i="13" s="1"/>
  <c r="L18" i="13"/>
  <c r="L19" i="13"/>
  <c r="L20" i="13"/>
  <c r="L21" i="13"/>
  <c r="L22" i="13"/>
  <c r="L23" i="13"/>
  <c r="L24" i="13"/>
  <c r="L25" i="13"/>
  <c r="M25" i="13" s="1"/>
  <c r="L26" i="13"/>
  <c r="L27" i="13"/>
  <c r="L28" i="13"/>
  <c r="L29" i="13"/>
  <c r="L30" i="13"/>
  <c r="L31" i="13"/>
  <c r="L32" i="13"/>
  <c r="L33" i="13"/>
  <c r="M33" i="13" s="1"/>
  <c r="L34" i="13"/>
  <c r="L35" i="13"/>
  <c r="L36" i="13"/>
  <c r="L37" i="13"/>
  <c r="L38" i="13"/>
  <c r="L40" i="13"/>
  <c r="L41" i="13"/>
  <c r="M41" i="13" s="1"/>
  <c r="L43" i="13"/>
  <c r="M43" i="13" s="1"/>
  <c r="L44" i="13"/>
  <c r="M44" i="13" s="1"/>
  <c r="L45" i="13"/>
  <c r="M45" i="13" s="1"/>
  <c r="L46" i="13"/>
  <c r="L47" i="13"/>
  <c r="M47" i="13" s="1"/>
  <c r="L48" i="13"/>
  <c r="M48" i="13" s="1"/>
  <c r="L49" i="13"/>
  <c r="L51" i="13"/>
  <c r="M51" i="13" s="1"/>
  <c r="L52" i="13"/>
  <c r="M52" i="13" s="1"/>
  <c r="L53" i="13"/>
  <c r="M53" i="13" s="1"/>
  <c r="L54" i="13"/>
  <c r="M54" i="13" s="1"/>
  <c r="L55" i="13"/>
  <c r="L57" i="13"/>
  <c r="M57" i="13" s="1"/>
  <c r="L58" i="13"/>
  <c r="L59" i="13"/>
  <c r="M59" i="13" s="1"/>
  <c r="L60" i="13"/>
  <c r="M60" i="13" s="1"/>
  <c r="L61" i="13"/>
  <c r="M61" i="13" s="1"/>
  <c r="L62" i="13"/>
  <c r="M62" i="13" s="1"/>
  <c r="L63" i="13"/>
  <c r="M63" i="13" s="1"/>
  <c r="L64" i="13"/>
  <c r="L65" i="13"/>
  <c r="M65" i="13" s="1"/>
  <c r="L66" i="13"/>
  <c r="M66" i="13" s="1"/>
  <c r="L67" i="13"/>
  <c r="M67" i="13" s="1"/>
  <c r="L68" i="13"/>
  <c r="M68" i="13" s="1"/>
  <c r="L69" i="13"/>
  <c r="M69" i="13" s="1"/>
  <c r="L70" i="13"/>
  <c r="M70" i="13" s="1"/>
  <c r="L71" i="13"/>
  <c r="M71" i="13" s="1"/>
  <c r="L72" i="13"/>
  <c r="L73" i="13"/>
  <c r="M73" i="13" s="1"/>
  <c r="L74" i="13"/>
  <c r="M74" i="13" s="1"/>
  <c r="L75" i="13"/>
  <c r="M75" i="13" s="1"/>
  <c r="L76" i="13"/>
  <c r="L78" i="13"/>
  <c r="M78" i="13" s="1"/>
  <c r="M77" i="13" s="1"/>
  <c r="L79" i="13"/>
  <c r="M79" i="13" s="1"/>
  <c r="L81" i="13"/>
  <c r="L82" i="13"/>
  <c r="L83" i="13"/>
  <c r="L85" i="13"/>
  <c r="M85" i="13" s="1"/>
  <c r="M84" i="13" s="1"/>
  <c r="L15" i="13"/>
  <c r="M15" i="13" s="1"/>
  <c r="P68" i="12"/>
  <c r="P101" i="12"/>
  <c r="N16" i="12"/>
  <c r="N17" i="12"/>
  <c r="N18" i="12"/>
  <c r="N19" i="12"/>
  <c r="N20" i="12"/>
  <c r="N21" i="12"/>
  <c r="N22" i="12"/>
  <c r="N24" i="12"/>
  <c r="P24" i="12" s="1"/>
  <c r="N25" i="12"/>
  <c r="N26" i="12"/>
  <c r="N27" i="12"/>
  <c r="N28" i="12"/>
  <c r="N29" i="12"/>
  <c r="N32" i="12"/>
  <c r="N33" i="12"/>
  <c r="P33" i="12" s="1"/>
  <c r="N34" i="12"/>
  <c r="P34" i="12" s="1"/>
  <c r="N35" i="12"/>
  <c r="N36" i="12"/>
  <c r="N37" i="12"/>
  <c r="N40" i="12"/>
  <c r="N41" i="12"/>
  <c r="N42" i="12"/>
  <c r="N43" i="12"/>
  <c r="P43" i="12" s="1"/>
  <c r="N44" i="12"/>
  <c r="P44" i="12" s="1"/>
  <c r="N45" i="12"/>
  <c r="N49" i="12"/>
  <c r="N51" i="12"/>
  <c r="N52" i="12"/>
  <c r="N54" i="12"/>
  <c r="N55" i="12"/>
  <c r="N56" i="12"/>
  <c r="P56" i="12" s="1"/>
  <c r="N57" i="12"/>
  <c r="N58" i="12"/>
  <c r="N59" i="12"/>
  <c r="N60" i="12"/>
  <c r="N61" i="12"/>
  <c r="N62" i="12"/>
  <c r="N65" i="12"/>
  <c r="N66" i="12"/>
  <c r="P66" i="12" s="1"/>
  <c r="N67" i="12"/>
  <c r="N68" i="12"/>
  <c r="N69" i="12"/>
  <c r="N70" i="12"/>
  <c r="N71" i="12"/>
  <c r="N72" i="12"/>
  <c r="N73" i="12"/>
  <c r="N74" i="12"/>
  <c r="N75" i="12"/>
  <c r="N76" i="12"/>
  <c r="N77" i="12"/>
  <c r="N78" i="12"/>
  <c r="N80" i="12"/>
  <c r="N81" i="12"/>
  <c r="N82" i="12"/>
  <c r="N83" i="12"/>
  <c r="P83" i="12" s="1"/>
  <c r="N84" i="12"/>
  <c r="P84" i="12" s="1"/>
  <c r="N85" i="12"/>
  <c r="N86" i="12"/>
  <c r="N87" i="12"/>
  <c r="N88" i="12"/>
  <c r="N89" i="12"/>
  <c r="N90" i="12"/>
  <c r="N91" i="12"/>
  <c r="N92" i="12"/>
  <c r="P92" i="12" s="1"/>
  <c r="N93" i="12"/>
  <c r="N94" i="12"/>
  <c r="N95" i="12"/>
  <c r="N96" i="12"/>
  <c r="N97" i="12"/>
  <c r="N98" i="12"/>
  <c r="N99" i="12"/>
  <c r="N100" i="12"/>
  <c r="P100" i="12" s="1"/>
  <c r="N101" i="12"/>
  <c r="N102" i="12"/>
  <c r="N103" i="12"/>
  <c r="N104" i="12"/>
  <c r="N105" i="12"/>
  <c r="N106" i="12"/>
  <c r="N108" i="12"/>
  <c r="N109" i="12"/>
  <c r="P109" i="12" s="1"/>
  <c r="N110" i="12"/>
  <c r="N111" i="12"/>
  <c r="N112" i="12"/>
  <c r="N113" i="12"/>
  <c r="N114" i="12"/>
  <c r="N115" i="12"/>
  <c r="N118" i="12"/>
  <c r="P118" i="12" s="1"/>
  <c r="N121" i="12"/>
  <c r="P121" i="12" s="1"/>
  <c r="P120" i="12" s="1"/>
  <c r="O16" i="12"/>
  <c r="O17" i="12"/>
  <c r="O18" i="12"/>
  <c r="O19" i="12"/>
  <c r="O20" i="12"/>
  <c r="O21" i="12"/>
  <c r="O22" i="12"/>
  <c r="O23" i="12"/>
  <c r="O24" i="12"/>
  <c r="O25" i="12"/>
  <c r="O26" i="12"/>
  <c r="O27" i="12"/>
  <c r="O28" i="12"/>
  <c r="O29" i="12"/>
  <c r="O30" i="12"/>
  <c r="O31" i="12"/>
  <c r="O32" i="12"/>
  <c r="O33" i="12"/>
  <c r="O34" i="12"/>
  <c r="O35" i="12"/>
  <c r="O36" i="12"/>
  <c r="O37" i="12"/>
  <c r="O38" i="12"/>
  <c r="O39" i="12"/>
  <c r="O40" i="12"/>
  <c r="O41" i="12"/>
  <c r="O42" i="12"/>
  <c r="O43" i="12"/>
  <c r="O44" i="12"/>
  <c r="O45" i="12"/>
  <c r="O46" i="12"/>
  <c r="O47" i="12"/>
  <c r="O49" i="12"/>
  <c r="O51" i="12"/>
  <c r="O52" i="12"/>
  <c r="O54" i="12"/>
  <c r="O55" i="12"/>
  <c r="O56" i="12"/>
  <c r="O57" i="12"/>
  <c r="O58" i="12"/>
  <c r="O59" i="12"/>
  <c r="O60" i="12"/>
  <c r="O61" i="12"/>
  <c r="O62" i="12"/>
  <c r="O64" i="12"/>
  <c r="O65" i="12"/>
  <c r="O66" i="12"/>
  <c r="O67" i="12"/>
  <c r="O68" i="12"/>
  <c r="O69" i="12"/>
  <c r="O70" i="12"/>
  <c r="O71" i="12"/>
  <c r="O72" i="12"/>
  <c r="O73" i="12"/>
  <c r="O74" i="12"/>
  <c r="O75" i="12"/>
  <c r="O76" i="12"/>
  <c r="O77" i="12"/>
  <c r="O78" i="12"/>
  <c r="O79" i="12"/>
  <c r="O80" i="12"/>
  <c r="O81" i="12"/>
  <c r="O82" i="12"/>
  <c r="O83" i="12"/>
  <c r="O84" i="12"/>
  <c r="O85" i="12"/>
  <c r="O86" i="12"/>
  <c r="O87" i="12"/>
  <c r="O88" i="12"/>
  <c r="O89" i="12"/>
  <c r="O90" i="12"/>
  <c r="O91" i="12"/>
  <c r="O92" i="12"/>
  <c r="O93" i="12"/>
  <c r="O94" i="12"/>
  <c r="O95" i="12"/>
  <c r="O96" i="12"/>
  <c r="O97" i="12"/>
  <c r="O98" i="12"/>
  <c r="O99" i="12"/>
  <c r="O100" i="12"/>
  <c r="O101" i="12"/>
  <c r="O102" i="12"/>
  <c r="O103" i="12"/>
  <c r="O104" i="12"/>
  <c r="O105" i="12"/>
  <c r="O106" i="12"/>
  <c r="O108" i="12"/>
  <c r="O109" i="12"/>
  <c r="O110" i="12"/>
  <c r="O111" i="12"/>
  <c r="O112" i="12"/>
  <c r="O113" i="12"/>
  <c r="O114" i="12"/>
  <c r="O115" i="12"/>
  <c r="O117" i="12"/>
  <c r="O118" i="12"/>
  <c r="O119" i="12"/>
  <c r="O121" i="12"/>
  <c r="L16" i="12"/>
  <c r="M16" i="12" s="1"/>
  <c r="L17" i="12"/>
  <c r="M17" i="12" s="1"/>
  <c r="L18" i="12"/>
  <c r="M18" i="12" s="1"/>
  <c r="L19" i="12"/>
  <c r="M19" i="12" s="1"/>
  <c r="L20" i="12"/>
  <c r="M20" i="12" s="1"/>
  <c r="L21" i="12"/>
  <c r="M21" i="12" s="1"/>
  <c r="L22" i="12"/>
  <c r="M22" i="12" s="1"/>
  <c r="L23" i="12"/>
  <c r="M23" i="12" s="1"/>
  <c r="L24" i="12"/>
  <c r="M24" i="12" s="1"/>
  <c r="L25" i="12"/>
  <c r="M25" i="12" s="1"/>
  <c r="L26" i="12"/>
  <c r="M26" i="12" s="1"/>
  <c r="L27" i="12"/>
  <c r="M27" i="12" s="1"/>
  <c r="L28" i="12"/>
  <c r="M28" i="12" s="1"/>
  <c r="L29" i="12"/>
  <c r="M29" i="12" s="1"/>
  <c r="L30" i="12"/>
  <c r="M30" i="12" s="1"/>
  <c r="L31" i="12"/>
  <c r="M31" i="12" s="1"/>
  <c r="L32" i="12"/>
  <c r="M32" i="12" s="1"/>
  <c r="L33" i="12"/>
  <c r="M33" i="12" s="1"/>
  <c r="L34" i="12"/>
  <c r="M34" i="12" s="1"/>
  <c r="L35" i="12"/>
  <c r="M35" i="12" s="1"/>
  <c r="L36" i="12"/>
  <c r="M36" i="12" s="1"/>
  <c r="L37" i="12"/>
  <c r="M37" i="12" s="1"/>
  <c r="L38" i="12"/>
  <c r="M38" i="12" s="1"/>
  <c r="L39" i="12"/>
  <c r="M39" i="12" s="1"/>
  <c r="L40" i="12"/>
  <c r="M40" i="12" s="1"/>
  <c r="L41" i="12"/>
  <c r="M41" i="12" s="1"/>
  <c r="L42" i="12"/>
  <c r="M42" i="12" s="1"/>
  <c r="L43" i="12"/>
  <c r="M43" i="12" s="1"/>
  <c r="L44" i="12"/>
  <c r="M44" i="12" s="1"/>
  <c r="L45" i="12"/>
  <c r="M45" i="12" s="1"/>
  <c r="L46" i="12"/>
  <c r="M46" i="12" s="1"/>
  <c r="L47" i="12"/>
  <c r="M47" i="12" s="1"/>
  <c r="L49" i="12"/>
  <c r="M49" i="12" s="1"/>
  <c r="L51" i="12"/>
  <c r="M51" i="12" s="1"/>
  <c r="L52" i="12"/>
  <c r="M52" i="12" s="1"/>
  <c r="L54" i="12"/>
  <c r="M54" i="12" s="1"/>
  <c r="L55" i="12"/>
  <c r="M55" i="12" s="1"/>
  <c r="L56" i="12"/>
  <c r="M56" i="12" s="1"/>
  <c r="L57" i="12"/>
  <c r="M57" i="12" s="1"/>
  <c r="L58" i="12"/>
  <c r="M58" i="12" s="1"/>
  <c r="L59" i="12"/>
  <c r="M59" i="12" s="1"/>
  <c r="L60" i="12"/>
  <c r="M60" i="12" s="1"/>
  <c r="L61" i="12"/>
  <c r="M61" i="12" s="1"/>
  <c r="L62" i="12"/>
  <c r="M62" i="12" s="1"/>
  <c r="L64" i="12"/>
  <c r="M64" i="12" s="1"/>
  <c r="L65" i="12"/>
  <c r="M65" i="12" s="1"/>
  <c r="L66" i="12"/>
  <c r="M66" i="12" s="1"/>
  <c r="L67" i="12"/>
  <c r="M67" i="12" s="1"/>
  <c r="L68" i="12"/>
  <c r="M68" i="12" s="1"/>
  <c r="L69" i="12"/>
  <c r="M69" i="12" s="1"/>
  <c r="L70" i="12"/>
  <c r="M70" i="12" s="1"/>
  <c r="L71" i="12"/>
  <c r="M71" i="12" s="1"/>
  <c r="L72" i="12"/>
  <c r="M72" i="12" s="1"/>
  <c r="L73" i="12"/>
  <c r="M73" i="12" s="1"/>
  <c r="L74" i="12"/>
  <c r="M74" i="12" s="1"/>
  <c r="L75" i="12"/>
  <c r="M75" i="12" s="1"/>
  <c r="L76" i="12"/>
  <c r="M76" i="12" s="1"/>
  <c r="L77" i="12"/>
  <c r="M77" i="12" s="1"/>
  <c r="L78" i="12"/>
  <c r="M78" i="12" s="1"/>
  <c r="L79" i="12"/>
  <c r="M79" i="12" s="1"/>
  <c r="L80" i="12"/>
  <c r="M80" i="12" s="1"/>
  <c r="L81" i="12"/>
  <c r="M81" i="12" s="1"/>
  <c r="L82" i="12"/>
  <c r="M82" i="12" s="1"/>
  <c r="L83" i="12"/>
  <c r="M83" i="12" s="1"/>
  <c r="L84" i="12"/>
  <c r="M84" i="12" s="1"/>
  <c r="L85" i="12"/>
  <c r="M85" i="12" s="1"/>
  <c r="L86" i="12"/>
  <c r="M86" i="12" s="1"/>
  <c r="L87" i="12"/>
  <c r="M87" i="12" s="1"/>
  <c r="L88" i="12"/>
  <c r="M88" i="12" s="1"/>
  <c r="L89" i="12"/>
  <c r="M89" i="12" s="1"/>
  <c r="L90" i="12"/>
  <c r="M90" i="12" s="1"/>
  <c r="L91" i="12"/>
  <c r="M91" i="12" s="1"/>
  <c r="L92" i="12"/>
  <c r="M92" i="12" s="1"/>
  <c r="L93" i="12"/>
  <c r="M93" i="12" s="1"/>
  <c r="L94" i="12"/>
  <c r="M94" i="12" s="1"/>
  <c r="L95" i="12"/>
  <c r="M95" i="12" s="1"/>
  <c r="L96" i="12"/>
  <c r="M96" i="12" s="1"/>
  <c r="L97" i="12"/>
  <c r="M97" i="12" s="1"/>
  <c r="L98" i="12"/>
  <c r="M98" i="12" s="1"/>
  <c r="L99" i="12"/>
  <c r="M99" i="12" s="1"/>
  <c r="L100" i="12"/>
  <c r="M100" i="12" s="1"/>
  <c r="L101" i="12"/>
  <c r="M101" i="12" s="1"/>
  <c r="L102" i="12"/>
  <c r="M102" i="12" s="1"/>
  <c r="L103" i="12"/>
  <c r="M103" i="12" s="1"/>
  <c r="L104" i="12"/>
  <c r="M104" i="12" s="1"/>
  <c r="L105" i="12"/>
  <c r="M105" i="12" s="1"/>
  <c r="L106" i="12"/>
  <c r="M106" i="12" s="1"/>
  <c r="L108" i="12"/>
  <c r="M108" i="12" s="1"/>
  <c r="L109" i="12"/>
  <c r="M109" i="12" s="1"/>
  <c r="L110" i="12"/>
  <c r="M110" i="12" s="1"/>
  <c r="L111" i="12"/>
  <c r="M111" i="12" s="1"/>
  <c r="L112" i="12"/>
  <c r="M112" i="12" s="1"/>
  <c r="L113" i="12"/>
  <c r="M113" i="12" s="1"/>
  <c r="L114" i="12"/>
  <c r="M114" i="12" s="1"/>
  <c r="L115" i="12"/>
  <c r="M115" i="12" s="1"/>
  <c r="L117" i="12"/>
  <c r="M117" i="12" s="1"/>
  <c r="L118" i="12"/>
  <c r="M118" i="12" s="1"/>
  <c r="L119" i="12"/>
  <c r="M119" i="12" s="1"/>
  <c r="L121" i="12"/>
  <c r="M121" i="12" s="1"/>
  <c r="O15" i="12"/>
  <c r="N15" i="12"/>
  <c r="L15" i="12"/>
  <c r="M15" i="12" s="1"/>
  <c r="P69" i="11"/>
  <c r="M69" i="11"/>
  <c r="P42" i="11"/>
  <c r="M42" i="11"/>
  <c r="P16" i="11"/>
  <c r="P17" i="11"/>
  <c r="P43" i="11"/>
  <c r="P44" i="11"/>
  <c r="P45" i="11"/>
  <c r="P46" i="11"/>
  <c r="P47" i="11"/>
  <c r="P51" i="11"/>
  <c r="P52" i="11"/>
  <c r="P53" i="11"/>
  <c r="P54" i="11"/>
  <c r="P55" i="11"/>
  <c r="P56" i="11"/>
  <c r="P58" i="11"/>
  <c r="P59" i="11"/>
  <c r="P60" i="11"/>
  <c r="P61" i="11"/>
  <c r="P62" i="11"/>
  <c r="P63" i="11"/>
  <c r="P64" i="11"/>
  <c r="P65" i="11"/>
  <c r="P66" i="11"/>
  <c r="P67" i="11"/>
  <c r="P70" i="11"/>
  <c r="P71" i="11"/>
  <c r="P74" i="11"/>
  <c r="O16" i="11"/>
  <c r="O17" i="11"/>
  <c r="O18" i="11"/>
  <c r="O19" i="11"/>
  <c r="O20" i="11"/>
  <c r="O21" i="11"/>
  <c r="O22" i="11"/>
  <c r="O23" i="11"/>
  <c r="O24" i="11"/>
  <c r="O25" i="11"/>
  <c r="O26" i="11"/>
  <c r="O27" i="11"/>
  <c r="O28" i="11"/>
  <c r="O29" i="11"/>
  <c r="O30" i="11"/>
  <c r="O31" i="11"/>
  <c r="O32" i="11"/>
  <c r="O33" i="11"/>
  <c r="O34" i="11"/>
  <c r="O35" i="11"/>
  <c r="O37" i="11"/>
  <c r="O38" i="11"/>
  <c r="O40" i="11"/>
  <c r="O41" i="11"/>
  <c r="O43" i="11"/>
  <c r="O44" i="11"/>
  <c r="O45" i="11"/>
  <c r="O46" i="11"/>
  <c r="O47" i="11"/>
  <c r="O49" i="11"/>
  <c r="O50" i="11"/>
  <c r="O51" i="11"/>
  <c r="O52" i="11"/>
  <c r="O53" i="11"/>
  <c r="O54" i="11"/>
  <c r="O55" i="11"/>
  <c r="O56" i="11"/>
  <c r="O57" i="11"/>
  <c r="O58" i="11"/>
  <c r="O59" i="11"/>
  <c r="O60" i="11"/>
  <c r="O61" i="11"/>
  <c r="O62" i="11"/>
  <c r="O63" i="11"/>
  <c r="O64" i="11"/>
  <c r="O65" i="11"/>
  <c r="O66" i="11"/>
  <c r="O67" i="11"/>
  <c r="O68" i="11"/>
  <c r="O70" i="11"/>
  <c r="O71" i="11"/>
  <c r="O73" i="11"/>
  <c r="O74" i="11"/>
  <c r="O75" i="11"/>
  <c r="O77" i="11"/>
  <c r="N16" i="11"/>
  <c r="N17" i="11"/>
  <c r="N18" i="11"/>
  <c r="P18" i="11" s="1"/>
  <c r="N19" i="11"/>
  <c r="P19" i="11" s="1"/>
  <c r="N20" i="11"/>
  <c r="P20" i="11" s="1"/>
  <c r="N22" i="11"/>
  <c r="P22" i="11" s="1"/>
  <c r="N23" i="11"/>
  <c r="P23" i="11" s="1"/>
  <c r="N24" i="11"/>
  <c r="P24" i="11" s="1"/>
  <c r="N27" i="11"/>
  <c r="P27" i="11" s="1"/>
  <c r="N28" i="11"/>
  <c r="P28" i="11" s="1"/>
  <c r="N30" i="11"/>
  <c r="P30" i="11" s="1"/>
  <c r="N31" i="11"/>
  <c r="P31" i="11" s="1"/>
  <c r="N32" i="11"/>
  <c r="P32" i="11" s="1"/>
  <c r="N35" i="11"/>
  <c r="P35" i="11" s="1"/>
  <c r="N38" i="11"/>
  <c r="P38" i="11" s="1"/>
  <c r="N41" i="11"/>
  <c r="P41" i="11" s="1"/>
  <c r="N43" i="11"/>
  <c r="N44" i="11"/>
  <c r="N45" i="11"/>
  <c r="N46" i="11"/>
  <c r="N47" i="11"/>
  <c r="N49" i="11"/>
  <c r="P49" i="11" s="1"/>
  <c r="N50" i="11"/>
  <c r="P50" i="11" s="1"/>
  <c r="N51" i="11"/>
  <c r="N52" i="11"/>
  <c r="N53" i="11"/>
  <c r="N54" i="11"/>
  <c r="N55" i="11"/>
  <c r="N56" i="11"/>
  <c r="N57" i="11"/>
  <c r="P57" i="11" s="1"/>
  <c r="N58" i="11"/>
  <c r="N59" i="11"/>
  <c r="N60" i="11"/>
  <c r="N61" i="11"/>
  <c r="N62" i="11"/>
  <c r="N63" i="11"/>
  <c r="N64" i="11"/>
  <c r="N65" i="11"/>
  <c r="N66" i="11"/>
  <c r="N67" i="11"/>
  <c r="N68" i="11"/>
  <c r="P68" i="11" s="1"/>
  <c r="N70" i="11"/>
  <c r="N71" i="11"/>
  <c r="N73" i="11"/>
  <c r="P73" i="11" s="1"/>
  <c r="N74" i="11"/>
  <c r="N75" i="11"/>
  <c r="P75" i="11" s="1"/>
  <c r="M16" i="11"/>
  <c r="M17" i="11"/>
  <c r="M18" i="11"/>
  <c r="M19" i="11"/>
  <c r="M20" i="11"/>
  <c r="M22" i="11"/>
  <c r="M23" i="11"/>
  <c r="M24" i="11"/>
  <c r="M27" i="11"/>
  <c r="M28" i="11"/>
  <c r="M30" i="11"/>
  <c r="M31" i="11"/>
  <c r="M32" i="11"/>
  <c r="M33" i="11"/>
  <c r="M35" i="11"/>
  <c r="M38" i="11"/>
  <c r="M41" i="11"/>
  <c r="M43" i="11"/>
  <c r="M44" i="11"/>
  <c r="M45" i="11"/>
  <c r="M46" i="11"/>
  <c r="M47" i="11"/>
  <c r="M49" i="11"/>
  <c r="M50" i="11"/>
  <c r="M51" i="11"/>
  <c r="M52" i="11"/>
  <c r="M53" i="11"/>
  <c r="M54" i="11"/>
  <c r="M55" i="11"/>
  <c r="M56" i="11"/>
  <c r="M57" i="11"/>
  <c r="M58" i="11"/>
  <c r="M59" i="11"/>
  <c r="M60" i="11"/>
  <c r="M61" i="11"/>
  <c r="M62" i="11"/>
  <c r="M63" i="11"/>
  <c r="M64" i="11"/>
  <c r="M65" i="11"/>
  <c r="M66" i="11"/>
  <c r="M67" i="11"/>
  <c r="M68" i="11"/>
  <c r="M70" i="11"/>
  <c r="M71" i="11"/>
  <c r="M73" i="11"/>
  <c r="M74" i="11"/>
  <c r="M7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7" i="11"/>
  <c r="L38" i="11"/>
  <c r="L40" i="11"/>
  <c r="L41" i="11"/>
  <c r="L43" i="11"/>
  <c r="L44" i="11"/>
  <c r="L45" i="11"/>
  <c r="L46" i="11"/>
  <c r="L47" i="11"/>
  <c r="L49" i="11"/>
  <c r="L50" i="11"/>
  <c r="L51" i="11"/>
  <c r="L52" i="11"/>
  <c r="L53" i="11"/>
  <c r="L54" i="11"/>
  <c r="L55" i="11"/>
  <c r="L56" i="11"/>
  <c r="L57" i="11"/>
  <c r="L58" i="11"/>
  <c r="L59" i="11"/>
  <c r="L60" i="11"/>
  <c r="L61" i="11"/>
  <c r="L62" i="11"/>
  <c r="L63" i="11"/>
  <c r="L64" i="11"/>
  <c r="L65" i="11"/>
  <c r="L66" i="11"/>
  <c r="L67" i="11"/>
  <c r="L68" i="11"/>
  <c r="L70" i="11"/>
  <c r="L71" i="11"/>
  <c r="L73" i="11"/>
  <c r="L74" i="11"/>
  <c r="L75" i="11"/>
  <c r="L77" i="11"/>
  <c r="O15" i="11"/>
  <c r="L15" i="11"/>
  <c r="P42" i="10"/>
  <c r="M42" i="10"/>
  <c r="P16" i="10"/>
  <c r="P17" i="10"/>
  <c r="P43" i="10"/>
  <c r="P44" i="10"/>
  <c r="P45" i="10"/>
  <c r="P46" i="10"/>
  <c r="P47" i="10"/>
  <c r="P49" i="10"/>
  <c r="P50" i="10"/>
  <c r="P53" i="10"/>
  <c r="P54" i="10"/>
  <c r="P55" i="10"/>
  <c r="P56" i="10"/>
  <c r="P57" i="10"/>
  <c r="P58" i="10"/>
  <c r="P59" i="10"/>
  <c r="P61" i="10"/>
  <c r="P62" i="10"/>
  <c r="P63" i="10"/>
  <c r="P64" i="10"/>
  <c r="P65" i="10"/>
  <c r="P66" i="10"/>
  <c r="P67" i="10"/>
  <c r="P68" i="10"/>
  <c r="P69" i="10"/>
  <c r="P70" i="10"/>
  <c r="P74" i="10"/>
  <c r="P75" i="10"/>
  <c r="P76" i="10"/>
  <c r="P79" i="10"/>
  <c r="O16" i="10"/>
  <c r="O17" i="10"/>
  <c r="O18" i="10"/>
  <c r="O19" i="10"/>
  <c r="O20" i="10"/>
  <c r="O21" i="10"/>
  <c r="O22" i="10"/>
  <c r="O23" i="10"/>
  <c r="O24" i="10"/>
  <c r="O25" i="10"/>
  <c r="O26" i="10"/>
  <c r="O27" i="10"/>
  <c r="O28" i="10"/>
  <c r="O29" i="10"/>
  <c r="O30" i="10"/>
  <c r="O31" i="10"/>
  <c r="O32" i="10"/>
  <c r="O33" i="10"/>
  <c r="O34" i="10"/>
  <c r="O35" i="10"/>
  <c r="O37" i="10"/>
  <c r="O38" i="10"/>
  <c r="O40" i="10"/>
  <c r="O41" i="10"/>
  <c r="O43" i="10"/>
  <c r="O44" i="10"/>
  <c r="O45" i="10"/>
  <c r="O46" i="10"/>
  <c r="O47" i="10"/>
  <c r="O49" i="10"/>
  <c r="O50" i="10"/>
  <c r="O51" i="10"/>
  <c r="O52" i="10"/>
  <c r="O53" i="10"/>
  <c r="O54" i="10"/>
  <c r="O55" i="10"/>
  <c r="O56" i="10"/>
  <c r="O57" i="10"/>
  <c r="O58" i="10"/>
  <c r="O59" i="10"/>
  <c r="O60" i="10"/>
  <c r="O61" i="10"/>
  <c r="O62" i="10"/>
  <c r="O63" i="10"/>
  <c r="O64" i="10"/>
  <c r="O65" i="10"/>
  <c r="O66" i="10"/>
  <c r="O67" i="10"/>
  <c r="O68" i="10"/>
  <c r="O69" i="10"/>
  <c r="O70" i="10"/>
  <c r="O71" i="10"/>
  <c r="O73" i="10"/>
  <c r="O74" i="10"/>
  <c r="O75" i="10"/>
  <c r="O76" i="10"/>
  <c r="O78" i="10"/>
  <c r="O79" i="10"/>
  <c r="O80" i="10"/>
  <c r="O82" i="10"/>
  <c r="N16" i="10"/>
  <c r="N17" i="10"/>
  <c r="N19" i="10"/>
  <c r="P19" i="10" s="1"/>
  <c r="N20" i="10"/>
  <c r="P20" i="10" s="1"/>
  <c r="N21" i="10"/>
  <c r="P21" i="10" s="1"/>
  <c r="N22" i="10"/>
  <c r="P22" i="10" s="1"/>
  <c r="N25" i="10"/>
  <c r="P25" i="10" s="1"/>
  <c r="N27" i="10"/>
  <c r="P27" i="10" s="1"/>
  <c r="N28" i="10"/>
  <c r="P28" i="10" s="1"/>
  <c r="N29" i="10"/>
  <c r="P29" i="10" s="1"/>
  <c r="N30" i="10"/>
  <c r="P30" i="10" s="1"/>
  <c r="N33" i="10"/>
  <c r="P33" i="10" s="1"/>
  <c r="N35" i="10"/>
  <c r="P35" i="10" s="1"/>
  <c r="N38" i="10"/>
  <c r="P38" i="10" s="1"/>
  <c r="N43" i="10"/>
  <c r="N44" i="10"/>
  <c r="N45" i="10"/>
  <c r="N46" i="10"/>
  <c r="N47" i="10"/>
  <c r="N49" i="10"/>
  <c r="N50" i="10"/>
  <c r="N51" i="10"/>
  <c r="P51" i="10" s="1"/>
  <c r="N52" i="10"/>
  <c r="P52" i="10" s="1"/>
  <c r="N53" i="10"/>
  <c r="N54" i="10"/>
  <c r="N55" i="10"/>
  <c r="N56" i="10"/>
  <c r="N57" i="10"/>
  <c r="N58" i="10"/>
  <c r="N59" i="10"/>
  <c r="N60" i="10"/>
  <c r="P60" i="10" s="1"/>
  <c r="N61" i="10"/>
  <c r="N62" i="10"/>
  <c r="N63" i="10"/>
  <c r="N64" i="10"/>
  <c r="N65" i="10"/>
  <c r="N66" i="10"/>
  <c r="N67" i="10"/>
  <c r="N68" i="10"/>
  <c r="N69" i="10"/>
  <c r="N70" i="10"/>
  <c r="N71" i="10"/>
  <c r="P71" i="10" s="1"/>
  <c r="N73" i="10"/>
  <c r="P73" i="10" s="1"/>
  <c r="P72" i="10" s="1"/>
  <c r="N74" i="10"/>
  <c r="N75" i="10"/>
  <c r="N76" i="10"/>
  <c r="N78" i="10"/>
  <c r="P78" i="10" s="1"/>
  <c r="N79" i="10"/>
  <c r="N80" i="10"/>
  <c r="P80" i="10" s="1"/>
  <c r="M16" i="10"/>
  <c r="M17" i="10"/>
  <c r="M19" i="10"/>
  <c r="M20" i="10"/>
  <c r="M21" i="10"/>
  <c r="M22" i="10"/>
  <c r="M25" i="10"/>
  <c r="M27" i="10"/>
  <c r="M28" i="10"/>
  <c r="M29" i="10"/>
  <c r="M30" i="10"/>
  <c r="M33" i="10"/>
  <c r="M35" i="10"/>
  <c r="M38" i="10"/>
  <c r="M43" i="10"/>
  <c r="M44" i="10"/>
  <c r="M45" i="10"/>
  <c r="M46" i="10"/>
  <c r="M47" i="10"/>
  <c r="M49" i="10"/>
  <c r="M50" i="10"/>
  <c r="M51" i="10"/>
  <c r="M52" i="10"/>
  <c r="M53" i="10"/>
  <c r="M54" i="10"/>
  <c r="M55" i="10"/>
  <c r="M56" i="10"/>
  <c r="M57" i="10"/>
  <c r="M58" i="10"/>
  <c r="M59" i="10"/>
  <c r="M60" i="10"/>
  <c r="M61" i="10"/>
  <c r="M62" i="10"/>
  <c r="M63" i="10"/>
  <c r="M64" i="10"/>
  <c r="M65" i="10"/>
  <c r="M66" i="10"/>
  <c r="M67" i="10"/>
  <c r="M68" i="10"/>
  <c r="M69" i="10"/>
  <c r="M70" i="10"/>
  <c r="M71" i="10"/>
  <c r="M73" i="10"/>
  <c r="M72" i="10" s="1"/>
  <c r="M74" i="10"/>
  <c r="M75" i="10"/>
  <c r="M76" i="10"/>
  <c r="M78" i="10"/>
  <c r="M77" i="10" s="1"/>
  <c r="M79" i="10"/>
  <c r="M80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7" i="10"/>
  <c r="L38" i="10"/>
  <c r="L40" i="10"/>
  <c r="L41" i="10"/>
  <c r="L43" i="10"/>
  <c r="L44" i="10"/>
  <c r="L45" i="10"/>
  <c r="L46" i="10"/>
  <c r="L47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L61" i="10"/>
  <c r="L62" i="10"/>
  <c r="L63" i="10"/>
  <c r="L64" i="10"/>
  <c r="L65" i="10"/>
  <c r="L66" i="10"/>
  <c r="L67" i="10"/>
  <c r="L68" i="10"/>
  <c r="L69" i="10"/>
  <c r="L70" i="10"/>
  <c r="L71" i="10"/>
  <c r="L73" i="10"/>
  <c r="L74" i="10"/>
  <c r="L75" i="10"/>
  <c r="L76" i="10"/>
  <c r="L78" i="10"/>
  <c r="L79" i="10"/>
  <c r="L80" i="10"/>
  <c r="L82" i="10"/>
  <c r="O15" i="10"/>
  <c r="N15" i="10"/>
  <c r="P15" i="10" s="1"/>
  <c r="M15" i="10"/>
  <c r="L15" i="10"/>
  <c r="P56" i="9"/>
  <c r="M56" i="9"/>
  <c r="N50" i="9"/>
  <c r="P50" i="9" s="1"/>
  <c r="O50" i="9"/>
  <c r="J102" i="9"/>
  <c r="P18" i="9"/>
  <c r="P19" i="9"/>
  <c r="P51" i="9"/>
  <c r="P52" i="9"/>
  <c r="P53" i="9"/>
  <c r="P57" i="9"/>
  <c r="P58" i="9"/>
  <c r="P59" i="9"/>
  <c r="P60" i="9"/>
  <c r="P61" i="9"/>
  <c r="P62" i="9"/>
  <c r="P63" i="9"/>
  <c r="P67" i="9"/>
  <c r="P68" i="9"/>
  <c r="P69" i="9"/>
  <c r="P70" i="9"/>
  <c r="P71" i="9"/>
  <c r="P72" i="9"/>
  <c r="P76" i="9"/>
  <c r="P77" i="9"/>
  <c r="P78" i="9"/>
  <c r="P79" i="9"/>
  <c r="P80" i="9"/>
  <c r="P81" i="9"/>
  <c r="P82" i="9"/>
  <c r="P83" i="9"/>
  <c r="P84" i="9"/>
  <c r="P85" i="9"/>
  <c r="P86" i="9"/>
  <c r="P87" i="9"/>
  <c r="P89" i="9"/>
  <c r="P90" i="9"/>
  <c r="P97" i="9"/>
  <c r="O16" i="9"/>
  <c r="O17" i="9"/>
  <c r="O18" i="9"/>
  <c r="O19" i="9"/>
  <c r="O20" i="9"/>
  <c r="O21" i="9"/>
  <c r="O22" i="9"/>
  <c r="O23" i="9"/>
  <c r="O24" i="9"/>
  <c r="O25" i="9"/>
  <c r="O26" i="9"/>
  <c r="O27" i="9"/>
  <c r="O28" i="9"/>
  <c r="O29" i="9"/>
  <c r="O30" i="9"/>
  <c r="O31" i="9"/>
  <c r="O32" i="9"/>
  <c r="O33" i="9"/>
  <c r="O34" i="9"/>
  <c r="O35" i="9"/>
  <c r="O36" i="9"/>
  <c r="O37" i="9"/>
  <c r="O38" i="9"/>
  <c r="O39" i="9"/>
  <c r="O40" i="9"/>
  <c r="O41" i="9"/>
  <c r="O42" i="9"/>
  <c r="O43" i="9"/>
  <c r="O44" i="9"/>
  <c r="O45" i="9"/>
  <c r="O47" i="9"/>
  <c r="O48" i="9"/>
  <c r="O51" i="9"/>
  <c r="O52" i="9"/>
  <c r="O53" i="9"/>
  <c r="O54" i="9"/>
  <c r="O55" i="9"/>
  <c r="O57" i="9"/>
  <c r="O58" i="9"/>
  <c r="O59" i="9"/>
  <c r="O60" i="9"/>
  <c r="O61" i="9"/>
  <c r="O62" i="9"/>
  <c r="O63" i="9"/>
  <c r="O65" i="9"/>
  <c r="O66" i="9"/>
  <c r="O67" i="9"/>
  <c r="O68" i="9"/>
  <c r="O69" i="9"/>
  <c r="O70" i="9"/>
  <c r="O71" i="9"/>
  <c r="O72" i="9"/>
  <c r="O73" i="9"/>
  <c r="O74" i="9"/>
  <c r="O75" i="9"/>
  <c r="O76" i="9"/>
  <c r="O77" i="9"/>
  <c r="O78" i="9"/>
  <c r="O79" i="9"/>
  <c r="O80" i="9"/>
  <c r="O81" i="9"/>
  <c r="O82" i="9"/>
  <c r="O83" i="9"/>
  <c r="O84" i="9"/>
  <c r="O85" i="9"/>
  <c r="O86" i="9"/>
  <c r="O87" i="9"/>
  <c r="O88" i="9"/>
  <c r="O89" i="9"/>
  <c r="O90" i="9"/>
  <c r="O92" i="9"/>
  <c r="O93" i="9"/>
  <c r="O95" i="9"/>
  <c r="O96" i="9"/>
  <c r="O97" i="9"/>
  <c r="O98" i="9"/>
  <c r="O100" i="9"/>
  <c r="N17" i="9"/>
  <c r="P17" i="9" s="1"/>
  <c r="N18" i="9"/>
  <c r="N19" i="9"/>
  <c r="N21" i="9"/>
  <c r="P21" i="9" s="1"/>
  <c r="N22" i="9"/>
  <c r="P22" i="9" s="1"/>
  <c r="N24" i="9"/>
  <c r="P24" i="9" s="1"/>
  <c r="N25" i="9"/>
  <c r="P25" i="9" s="1"/>
  <c r="N26" i="9"/>
  <c r="P26" i="9" s="1"/>
  <c r="N29" i="9"/>
  <c r="P29" i="9" s="1"/>
  <c r="N30" i="9"/>
  <c r="P30" i="9" s="1"/>
  <c r="N32" i="9"/>
  <c r="P32" i="9" s="1"/>
  <c r="N33" i="9"/>
  <c r="P33" i="9" s="1"/>
  <c r="N34" i="9"/>
  <c r="P34" i="9" s="1"/>
  <c r="N37" i="9"/>
  <c r="P37" i="9" s="1"/>
  <c r="N38" i="9"/>
  <c r="P38" i="9" s="1"/>
  <c r="N40" i="9"/>
  <c r="P40" i="9" s="1"/>
  <c r="N41" i="9"/>
  <c r="P41" i="9" s="1"/>
  <c r="N42" i="9"/>
  <c r="P42" i="9" s="1"/>
  <c r="N45" i="9"/>
  <c r="P45" i="9" s="1"/>
  <c r="N48" i="9"/>
  <c r="P48" i="9" s="1"/>
  <c r="N51" i="9"/>
  <c r="N52" i="9"/>
  <c r="N53" i="9"/>
  <c r="N54" i="9"/>
  <c r="P54" i="9" s="1"/>
  <c r="N55" i="9"/>
  <c r="P55" i="9" s="1"/>
  <c r="N57" i="9"/>
  <c r="N58" i="9"/>
  <c r="N59" i="9"/>
  <c r="N60" i="9"/>
  <c r="N61" i="9"/>
  <c r="N62" i="9"/>
  <c r="N63" i="9"/>
  <c r="N65" i="9"/>
  <c r="P65" i="9" s="1"/>
  <c r="N66" i="9"/>
  <c r="P66" i="9" s="1"/>
  <c r="N67" i="9"/>
  <c r="N68" i="9"/>
  <c r="N69" i="9"/>
  <c r="N70" i="9"/>
  <c r="N71" i="9"/>
  <c r="N72" i="9"/>
  <c r="N73" i="9"/>
  <c r="P73" i="9" s="1"/>
  <c r="N74" i="9"/>
  <c r="P74" i="9" s="1"/>
  <c r="N76" i="9"/>
  <c r="N77" i="9"/>
  <c r="N78" i="9"/>
  <c r="N79" i="9"/>
  <c r="N80" i="9"/>
  <c r="N81" i="9"/>
  <c r="N82" i="9"/>
  <c r="N83" i="9"/>
  <c r="N84" i="9"/>
  <c r="N85" i="9"/>
  <c r="N86" i="9"/>
  <c r="N87" i="9"/>
  <c r="N89" i="9"/>
  <c r="N90" i="9"/>
  <c r="N93" i="9"/>
  <c r="P93" i="9" s="1"/>
  <c r="N97" i="9"/>
  <c r="N98" i="9"/>
  <c r="P98" i="9" s="1"/>
  <c r="N100" i="9"/>
  <c r="P100" i="9" s="1"/>
  <c r="P99" i="9" s="1"/>
  <c r="M17" i="9"/>
  <c r="M18" i="9"/>
  <c r="M19" i="9"/>
  <c r="M21" i="9"/>
  <c r="M22" i="9"/>
  <c r="M23" i="9"/>
  <c r="M24" i="9"/>
  <c r="M25" i="9"/>
  <c r="M26" i="9"/>
  <c r="M32" i="9"/>
  <c r="M33" i="9"/>
  <c r="M34" i="9"/>
  <c r="M39" i="9"/>
  <c r="M40" i="9"/>
  <c r="M41" i="9"/>
  <c r="M42" i="9"/>
  <c r="M43" i="9"/>
  <c r="M44" i="9"/>
  <c r="M48" i="9"/>
  <c r="M50" i="9"/>
  <c r="M51" i="9"/>
  <c r="M52" i="9"/>
  <c r="M53" i="9"/>
  <c r="M54" i="9"/>
  <c r="M49" i="9" s="1"/>
  <c r="M55" i="9"/>
  <c r="M57" i="9"/>
  <c r="M58" i="9"/>
  <c r="M59" i="9"/>
  <c r="M60" i="9"/>
  <c r="M61" i="9"/>
  <c r="M62" i="9"/>
  <c r="M63" i="9"/>
  <c r="M65" i="9"/>
  <c r="M66" i="9"/>
  <c r="M67" i="9"/>
  <c r="M68" i="9"/>
  <c r="M69" i="9"/>
  <c r="M70" i="9"/>
  <c r="M71" i="9"/>
  <c r="M72" i="9"/>
  <c r="M73" i="9"/>
  <c r="M74" i="9"/>
  <c r="M76" i="9"/>
  <c r="M77" i="9"/>
  <c r="M78" i="9"/>
  <c r="M79" i="9"/>
  <c r="M80" i="9"/>
  <c r="M81" i="9"/>
  <c r="M82" i="9"/>
  <c r="M83" i="9"/>
  <c r="M84" i="9"/>
  <c r="M85" i="9"/>
  <c r="M86" i="9"/>
  <c r="M87" i="9"/>
  <c r="M89" i="9"/>
  <c r="M90" i="9"/>
  <c r="M93" i="9"/>
  <c r="M97" i="9"/>
  <c r="M98" i="9"/>
  <c r="M100" i="9"/>
  <c r="M99" i="9" s="1"/>
  <c r="L16" i="9"/>
  <c r="L17" i="9"/>
  <c r="L18" i="9"/>
  <c r="L19" i="9"/>
  <c r="L20" i="9"/>
  <c r="L21" i="9"/>
  <c r="L22" i="9"/>
  <c r="L23" i="9"/>
  <c r="L24" i="9"/>
  <c r="L25" i="9"/>
  <c r="L26" i="9"/>
  <c r="L27" i="9"/>
  <c r="L28" i="9"/>
  <c r="L29" i="9"/>
  <c r="L30" i="9"/>
  <c r="L31" i="9"/>
  <c r="L32" i="9"/>
  <c r="L33" i="9"/>
  <c r="L34" i="9"/>
  <c r="L35" i="9"/>
  <c r="L36" i="9"/>
  <c r="L37" i="9"/>
  <c r="L38" i="9"/>
  <c r="L39" i="9"/>
  <c r="L40" i="9"/>
  <c r="L41" i="9"/>
  <c r="L42" i="9"/>
  <c r="L43" i="9"/>
  <c r="L44" i="9"/>
  <c r="L45" i="9"/>
  <c r="L47" i="9"/>
  <c r="L48" i="9"/>
  <c r="L50" i="9"/>
  <c r="L51" i="9"/>
  <c r="L52" i="9"/>
  <c r="L53" i="9"/>
  <c r="L54" i="9"/>
  <c r="L55" i="9"/>
  <c r="L57" i="9"/>
  <c r="L58" i="9"/>
  <c r="L59" i="9"/>
  <c r="L60" i="9"/>
  <c r="L61" i="9"/>
  <c r="L62" i="9"/>
  <c r="L63" i="9"/>
  <c r="L65" i="9"/>
  <c r="L66" i="9"/>
  <c r="L67" i="9"/>
  <c r="L68" i="9"/>
  <c r="L69" i="9"/>
  <c r="L70" i="9"/>
  <c r="L71" i="9"/>
  <c r="L72" i="9"/>
  <c r="L73" i="9"/>
  <c r="L74" i="9"/>
  <c r="L75" i="9"/>
  <c r="L76" i="9"/>
  <c r="L77" i="9"/>
  <c r="L78" i="9"/>
  <c r="L79" i="9"/>
  <c r="L80" i="9"/>
  <c r="L81" i="9"/>
  <c r="L82" i="9"/>
  <c r="L83" i="9"/>
  <c r="L84" i="9"/>
  <c r="L85" i="9"/>
  <c r="L86" i="9"/>
  <c r="L87" i="9"/>
  <c r="L88" i="9"/>
  <c r="L89" i="9"/>
  <c r="L90" i="9"/>
  <c r="L92" i="9"/>
  <c r="L93" i="9"/>
  <c r="L95" i="9"/>
  <c r="L96" i="9"/>
  <c r="L97" i="9"/>
  <c r="L98" i="9"/>
  <c r="L100" i="9"/>
  <c r="O15" i="9"/>
  <c r="N15" i="9"/>
  <c r="P15" i="9" s="1"/>
  <c r="M15" i="9"/>
  <c r="L15" i="9"/>
  <c r="P74" i="8"/>
  <c r="M74" i="8"/>
  <c r="P47" i="8"/>
  <c r="M47" i="8"/>
  <c r="P41" i="8"/>
  <c r="P42" i="8"/>
  <c r="P43" i="8"/>
  <c r="P44" i="8"/>
  <c r="P48" i="8"/>
  <c r="P49" i="8"/>
  <c r="P50" i="8"/>
  <c r="P51" i="8"/>
  <c r="P52" i="8"/>
  <c r="P56" i="8"/>
  <c r="P57" i="8"/>
  <c r="P58" i="8"/>
  <c r="P59" i="8"/>
  <c r="P60" i="8"/>
  <c r="P61" i="8"/>
  <c r="P63" i="8"/>
  <c r="P64" i="8"/>
  <c r="P65" i="8"/>
  <c r="P66" i="8"/>
  <c r="P67" i="8"/>
  <c r="P68" i="8"/>
  <c r="P69" i="8"/>
  <c r="P70" i="8"/>
  <c r="P71" i="8"/>
  <c r="P72" i="8"/>
  <c r="P75" i="8"/>
  <c r="P76" i="8"/>
  <c r="P79" i="8"/>
  <c r="O16" i="8"/>
  <c r="O17" i="8"/>
  <c r="O18" i="8"/>
  <c r="O19" i="8"/>
  <c r="O20" i="8"/>
  <c r="O21" i="8"/>
  <c r="O22" i="8"/>
  <c r="O23" i="8"/>
  <c r="O24" i="8"/>
  <c r="O25" i="8"/>
  <c r="O26" i="8"/>
  <c r="O27" i="8"/>
  <c r="O28" i="8"/>
  <c r="O29" i="8"/>
  <c r="O30" i="8"/>
  <c r="O31" i="8"/>
  <c r="O32" i="8"/>
  <c r="O33" i="8"/>
  <c r="O34" i="8"/>
  <c r="O35" i="8"/>
  <c r="O36" i="8"/>
  <c r="O38" i="8"/>
  <c r="O39" i="8"/>
  <c r="O41" i="8"/>
  <c r="O42" i="8"/>
  <c r="O43" i="8"/>
  <c r="O44" i="8"/>
  <c r="O45" i="8"/>
  <c r="O46" i="8"/>
  <c r="O48" i="8"/>
  <c r="O49" i="8"/>
  <c r="O50" i="8"/>
  <c r="O51" i="8"/>
  <c r="O52" i="8"/>
  <c r="O54" i="8"/>
  <c r="O55" i="8"/>
  <c r="O56" i="8"/>
  <c r="O57" i="8"/>
  <c r="O58" i="8"/>
  <c r="O59" i="8"/>
  <c r="O60" i="8"/>
  <c r="O61" i="8"/>
  <c r="O62" i="8"/>
  <c r="O63" i="8"/>
  <c r="O64" i="8"/>
  <c r="O65" i="8"/>
  <c r="O66" i="8"/>
  <c r="O67" i="8"/>
  <c r="O68" i="8"/>
  <c r="O69" i="8"/>
  <c r="O70" i="8"/>
  <c r="O71" i="8"/>
  <c r="O72" i="8"/>
  <c r="O73" i="8"/>
  <c r="O75" i="8"/>
  <c r="O76" i="8"/>
  <c r="O78" i="8"/>
  <c r="O79" i="8"/>
  <c r="O80" i="8"/>
  <c r="O82" i="8"/>
  <c r="N16" i="8"/>
  <c r="P16" i="8" s="1"/>
  <c r="N17" i="8"/>
  <c r="P17" i="8" s="1"/>
  <c r="N18" i="8"/>
  <c r="P18" i="8" s="1"/>
  <c r="N20" i="8"/>
  <c r="P20" i="8" s="1"/>
  <c r="N21" i="8"/>
  <c r="P21" i="8" s="1"/>
  <c r="N22" i="8"/>
  <c r="P22" i="8" s="1"/>
  <c r="N24" i="8"/>
  <c r="P24" i="8" s="1"/>
  <c r="N25" i="8"/>
  <c r="P25" i="8" s="1"/>
  <c r="N28" i="8"/>
  <c r="P28" i="8" s="1"/>
  <c r="N29" i="8"/>
  <c r="P29" i="8" s="1"/>
  <c r="N30" i="8"/>
  <c r="P30" i="8" s="1"/>
  <c r="N32" i="8"/>
  <c r="P32" i="8" s="1"/>
  <c r="N33" i="8"/>
  <c r="P33" i="8" s="1"/>
  <c r="N35" i="8"/>
  <c r="P35" i="8" s="1"/>
  <c r="N36" i="8"/>
  <c r="P36" i="8" s="1"/>
  <c r="N38" i="8"/>
  <c r="P38" i="8" s="1"/>
  <c r="N41" i="8"/>
  <c r="N42" i="8"/>
  <c r="N43" i="8"/>
  <c r="N44" i="8"/>
  <c r="N45" i="8"/>
  <c r="P45" i="8" s="1"/>
  <c r="N46" i="8"/>
  <c r="P46" i="8" s="1"/>
  <c r="N48" i="8"/>
  <c r="N49" i="8"/>
  <c r="N50" i="8"/>
  <c r="N51" i="8"/>
  <c r="N52" i="8"/>
  <c r="N56" i="8"/>
  <c r="N57" i="8"/>
  <c r="N58" i="8"/>
  <c r="N59" i="8"/>
  <c r="N60" i="8"/>
  <c r="N61" i="8"/>
  <c r="N62" i="8"/>
  <c r="P62" i="8" s="1"/>
  <c r="N63" i="8"/>
  <c r="N64" i="8"/>
  <c r="N65" i="8"/>
  <c r="N66" i="8"/>
  <c r="N67" i="8"/>
  <c r="N68" i="8"/>
  <c r="N69" i="8"/>
  <c r="N70" i="8"/>
  <c r="N71" i="8"/>
  <c r="N72" i="8"/>
  <c r="N73" i="8"/>
  <c r="P73" i="8" s="1"/>
  <c r="N75" i="8"/>
  <c r="N76" i="8"/>
  <c r="N78" i="8"/>
  <c r="P78" i="8" s="1"/>
  <c r="N79" i="8"/>
  <c r="N82" i="8"/>
  <c r="P82" i="8" s="1"/>
  <c r="P81" i="8" s="1"/>
  <c r="M16" i="8"/>
  <c r="M17" i="8"/>
  <c r="M18" i="8"/>
  <c r="M20" i="8"/>
  <c r="M21" i="8"/>
  <c r="M22" i="8"/>
  <c r="M24" i="8"/>
  <c r="M25" i="8"/>
  <c r="M28" i="8"/>
  <c r="M29" i="8"/>
  <c r="M30" i="8"/>
  <c r="M32" i="8"/>
  <c r="M33" i="8"/>
  <c r="M35" i="8"/>
  <c r="M36" i="8"/>
  <c r="M38" i="8"/>
  <c r="M41" i="8"/>
  <c r="M42" i="8"/>
  <c r="M43" i="8"/>
  <c r="M44" i="8"/>
  <c r="M45" i="8"/>
  <c r="M46" i="8"/>
  <c r="M48" i="8"/>
  <c r="M49" i="8"/>
  <c r="M50" i="8"/>
  <c r="M51" i="8"/>
  <c r="M52" i="8"/>
  <c r="M56" i="8"/>
  <c r="M57" i="8"/>
  <c r="M58" i="8"/>
  <c r="M59" i="8"/>
  <c r="M60" i="8"/>
  <c r="M61" i="8"/>
  <c r="M62" i="8"/>
  <c r="M63" i="8"/>
  <c r="M64" i="8"/>
  <c r="M65" i="8"/>
  <c r="M66" i="8"/>
  <c r="M67" i="8"/>
  <c r="M68" i="8"/>
  <c r="M69" i="8"/>
  <c r="M70" i="8"/>
  <c r="M71" i="8"/>
  <c r="M72" i="8"/>
  <c r="M73" i="8"/>
  <c r="M75" i="8"/>
  <c r="M76" i="8"/>
  <c r="M78" i="8"/>
  <c r="M79" i="8"/>
  <c r="M82" i="8"/>
  <c r="M81" i="8" s="1"/>
  <c r="L16" i="8"/>
  <c r="L17" i="8"/>
  <c r="L18" i="8"/>
  <c r="L19" i="8"/>
  <c r="L20" i="8"/>
  <c r="L21" i="8"/>
  <c r="L22" i="8"/>
  <c r="L23" i="8"/>
  <c r="L24" i="8"/>
  <c r="L25" i="8"/>
  <c r="L26" i="8"/>
  <c r="L27" i="8"/>
  <c r="L28" i="8"/>
  <c r="L29" i="8"/>
  <c r="L30" i="8"/>
  <c r="L31" i="8"/>
  <c r="L32" i="8"/>
  <c r="L33" i="8"/>
  <c r="L34" i="8"/>
  <c r="L35" i="8"/>
  <c r="L36" i="8"/>
  <c r="L38" i="8"/>
  <c r="L39" i="8"/>
  <c r="L41" i="8"/>
  <c r="L42" i="8"/>
  <c r="L43" i="8"/>
  <c r="L44" i="8"/>
  <c r="L45" i="8"/>
  <c r="L46" i="8"/>
  <c r="L48" i="8"/>
  <c r="L49" i="8"/>
  <c r="L50" i="8"/>
  <c r="L51" i="8"/>
  <c r="L52" i="8"/>
  <c r="L54" i="8"/>
  <c r="L55" i="8"/>
  <c r="L56" i="8"/>
  <c r="L57" i="8"/>
  <c r="L58" i="8"/>
  <c r="L59" i="8"/>
  <c r="L60" i="8"/>
  <c r="L61" i="8"/>
  <c r="L62" i="8"/>
  <c r="L63" i="8"/>
  <c r="L64" i="8"/>
  <c r="L65" i="8"/>
  <c r="L66" i="8"/>
  <c r="L67" i="8"/>
  <c r="L68" i="8"/>
  <c r="L69" i="8"/>
  <c r="L70" i="8"/>
  <c r="L71" i="8"/>
  <c r="L72" i="8"/>
  <c r="L73" i="8"/>
  <c r="L75" i="8"/>
  <c r="L76" i="8"/>
  <c r="L78" i="8"/>
  <c r="L79" i="8"/>
  <c r="L80" i="8"/>
  <c r="L82" i="8"/>
  <c r="O15" i="8"/>
  <c r="N15" i="8"/>
  <c r="P15" i="8" s="1"/>
  <c r="M15" i="8"/>
  <c r="L15" i="8"/>
  <c r="P76" i="7"/>
  <c r="M76" i="7"/>
  <c r="P49" i="7"/>
  <c r="M49" i="7"/>
  <c r="J86" i="7"/>
  <c r="P16" i="7"/>
  <c r="P17" i="7"/>
  <c r="P41" i="7"/>
  <c r="P42" i="7"/>
  <c r="P43" i="7"/>
  <c r="P44" i="7"/>
  <c r="P45" i="7"/>
  <c r="P46" i="7"/>
  <c r="P50" i="7"/>
  <c r="P51" i="7"/>
  <c r="P52" i="7"/>
  <c r="P53" i="7"/>
  <c r="P54" i="7"/>
  <c r="P58" i="7"/>
  <c r="P59" i="7"/>
  <c r="P60" i="7"/>
  <c r="P61" i="7"/>
  <c r="P62" i="7"/>
  <c r="P63" i="7"/>
  <c r="P65" i="7"/>
  <c r="P66" i="7"/>
  <c r="P67" i="7"/>
  <c r="P68" i="7"/>
  <c r="P69" i="7"/>
  <c r="P70" i="7"/>
  <c r="P71" i="7"/>
  <c r="P72" i="7"/>
  <c r="P73" i="7"/>
  <c r="P74" i="7"/>
  <c r="P77" i="7"/>
  <c r="P78" i="7"/>
  <c r="P81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O36" i="7"/>
  <c r="O38" i="7"/>
  <c r="O39" i="7"/>
  <c r="O41" i="7"/>
  <c r="O42" i="7"/>
  <c r="O43" i="7"/>
  <c r="O44" i="7"/>
  <c r="O45" i="7"/>
  <c r="O46" i="7"/>
  <c r="O47" i="7"/>
  <c r="O48" i="7"/>
  <c r="O50" i="7"/>
  <c r="O51" i="7"/>
  <c r="O52" i="7"/>
  <c r="O53" i="7"/>
  <c r="O54" i="7"/>
  <c r="O56" i="7"/>
  <c r="O57" i="7"/>
  <c r="O58" i="7"/>
  <c r="O59" i="7"/>
  <c r="O60" i="7"/>
  <c r="O61" i="7"/>
  <c r="O62" i="7"/>
  <c r="O63" i="7"/>
  <c r="O64" i="7"/>
  <c r="O65" i="7"/>
  <c r="O66" i="7"/>
  <c r="O67" i="7"/>
  <c r="O68" i="7"/>
  <c r="O69" i="7"/>
  <c r="O70" i="7"/>
  <c r="O71" i="7"/>
  <c r="O72" i="7"/>
  <c r="O73" i="7"/>
  <c r="O74" i="7"/>
  <c r="O75" i="7"/>
  <c r="O77" i="7"/>
  <c r="O78" i="7"/>
  <c r="O80" i="7"/>
  <c r="O81" i="7"/>
  <c r="O82" i="7"/>
  <c r="O84" i="7"/>
  <c r="N16" i="7"/>
  <c r="N17" i="7"/>
  <c r="N20" i="7"/>
  <c r="P20" i="7" s="1"/>
  <c r="N22" i="7"/>
  <c r="P22" i="7" s="1"/>
  <c r="N24" i="7"/>
  <c r="P24" i="7" s="1"/>
  <c r="N25" i="7"/>
  <c r="P25" i="7" s="1"/>
  <c r="N28" i="7"/>
  <c r="P28" i="7" s="1"/>
  <c r="N29" i="7"/>
  <c r="P29" i="7" s="1"/>
  <c r="N30" i="7"/>
  <c r="P30" i="7" s="1"/>
  <c r="N32" i="7"/>
  <c r="P32" i="7" s="1"/>
  <c r="N33" i="7"/>
  <c r="P33" i="7" s="1"/>
  <c r="N36" i="7"/>
  <c r="P36" i="7" s="1"/>
  <c r="N38" i="7"/>
  <c r="P38" i="7" s="1"/>
  <c r="N41" i="7"/>
  <c r="N42" i="7"/>
  <c r="N43" i="7"/>
  <c r="N44" i="7"/>
  <c r="N45" i="7"/>
  <c r="N46" i="7"/>
  <c r="N47" i="7"/>
  <c r="P47" i="7" s="1"/>
  <c r="N48" i="7"/>
  <c r="P48" i="7" s="1"/>
  <c r="N50" i="7"/>
  <c r="N51" i="7"/>
  <c r="N52" i="7"/>
  <c r="N53" i="7"/>
  <c r="N54" i="7"/>
  <c r="N56" i="7"/>
  <c r="P56" i="7" s="1"/>
  <c r="N57" i="7"/>
  <c r="P57" i="7" s="1"/>
  <c r="N58" i="7"/>
  <c r="N59" i="7"/>
  <c r="N60" i="7"/>
  <c r="N61" i="7"/>
  <c r="N62" i="7"/>
  <c r="N63" i="7"/>
  <c r="N65" i="7"/>
  <c r="N66" i="7"/>
  <c r="N67" i="7"/>
  <c r="N68" i="7"/>
  <c r="N69" i="7"/>
  <c r="N70" i="7"/>
  <c r="N71" i="7"/>
  <c r="N72" i="7"/>
  <c r="N73" i="7"/>
  <c r="N74" i="7"/>
  <c r="N75" i="7"/>
  <c r="P75" i="7" s="1"/>
  <c r="N77" i="7"/>
  <c r="N78" i="7"/>
  <c r="N81" i="7"/>
  <c r="N82" i="7"/>
  <c r="P82" i="7" s="1"/>
  <c r="N84" i="7"/>
  <c r="P84" i="7" s="1"/>
  <c r="P83" i="7" s="1"/>
  <c r="M16" i="7"/>
  <c r="M17" i="7"/>
  <c r="M18" i="7"/>
  <c r="M20" i="7"/>
  <c r="M22" i="7"/>
  <c r="M24" i="7"/>
  <c r="M25" i="7"/>
  <c r="M27" i="7"/>
  <c r="M28" i="7"/>
  <c r="M30" i="7"/>
  <c r="M32" i="7"/>
  <c r="M33" i="7"/>
  <c r="M36" i="7"/>
  <c r="M38" i="7"/>
  <c r="M41" i="7"/>
  <c r="M42" i="7"/>
  <c r="M43" i="7"/>
  <c r="M44" i="7"/>
  <c r="M45" i="7"/>
  <c r="M46" i="7"/>
  <c r="M47" i="7"/>
  <c r="M48" i="7"/>
  <c r="M50" i="7"/>
  <c r="M51" i="7"/>
  <c r="M52" i="7"/>
  <c r="M53" i="7"/>
  <c r="M54" i="7"/>
  <c r="M56" i="7"/>
  <c r="M57" i="7"/>
  <c r="M58" i="7"/>
  <c r="M59" i="7"/>
  <c r="M60" i="7"/>
  <c r="M61" i="7"/>
  <c r="M62" i="7"/>
  <c r="M63" i="7"/>
  <c r="M64" i="7"/>
  <c r="M65" i="7"/>
  <c r="M66" i="7"/>
  <c r="M67" i="7"/>
  <c r="M68" i="7"/>
  <c r="M69" i="7"/>
  <c r="M70" i="7"/>
  <c r="M71" i="7"/>
  <c r="M72" i="7"/>
  <c r="M73" i="7"/>
  <c r="M74" i="7"/>
  <c r="M75" i="7"/>
  <c r="M77" i="7"/>
  <c r="M78" i="7"/>
  <c r="M80" i="7"/>
  <c r="M81" i="7"/>
  <c r="M82" i="7"/>
  <c r="M84" i="7"/>
  <c r="M83" i="7" s="1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L36" i="7"/>
  <c r="L38" i="7"/>
  <c r="L39" i="7"/>
  <c r="L41" i="7"/>
  <c r="L42" i="7"/>
  <c r="L43" i="7"/>
  <c r="L44" i="7"/>
  <c r="L45" i="7"/>
  <c r="L46" i="7"/>
  <c r="L47" i="7"/>
  <c r="L48" i="7"/>
  <c r="L50" i="7"/>
  <c r="L51" i="7"/>
  <c r="L52" i="7"/>
  <c r="L53" i="7"/>
  <c r="L54" i="7"/>
  <c r="L56" i="7"/>
  <c r="L57" i="7"/>
  <c r="L58" i="7"/>
  <c r="L59" i="7"/>
  <c r="L60" i="7"/>
  <c r="L61" i="7"/>
  <c r="L62" i="7"/>
  <c r="L63" i="7"/>
  <c r="L64" i="7"/>
  <c r="L65" i="7"/>
  <c r="L66" i="7"/>
  <c r="L67" i="7"/>
  <c r="L68" i="7"/>
  <c r="L69" i="7"/>
  <c r="L70" i="7"/>
  <c r="L71" i="7"/>
  <c r="L72" i="7"/>
  <c r="L73" i="7"/>
  <c r="L74" i="7"/>
  <c r="L75" i="7"/>
  <c r="L77" i="7"/>
  <c r="L78" i="7"/>
  <c r="L80" i="7"/>
  <c r="L81" i="7"/>
  <c r="L82" i="7"/>
  <c r="L84" i="7"/>
  <c r="M15" i="7"/>
  <c r="O15" i="7"/>
  <c r="N15" i="7"/>
  <c r="P15" i="7" s="1"/>
  <c r="L15" i="7"/>
  <c r="J79" i="6"/>
  <c r="P69" i="6"/>
  <c r="M69" i="6"/>
  <c r="P43" i="6"/>
  <c r="M43" i="6"/>
  <c r="P16" i="6"/>
  <c r="P17" i="6"/>
  <c r="P44" i="6"/>
  <c r="P45" i="6"/>
  <c r="P46" i="6"/>
  <c r="P47" i="6"/>
  <c r="P48" i="6"/>
  <c r="P52" i="6"/>
  <c r="P53" i="6"/>
  <c r="P54" i="6"/>
  <c r="P55" i="6"/>
  <c r="P56" i="6"/>
  <c r="P58" i="6"/>
  <c r="P59" i="6"/>
  <c r="P60" i="6"/>
  <c r="P61" i="6"/>
  <c r="P62" i="6"/>
  <c r="P63" i="6"/>
  <c r="P64" i="6"/>
  <c r="P65" i="6"/>
  <c r="P66" i="6"/>
  <c r="P67" i="6"/>
  <c r="P70" i="6"/>
  <c r="P71" i="6"/>
  <c r="P74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8" i="6"/>
  <c r="O39" i="6"/>
  <c r="O41" i="6"/>
  <c r="O42" i="6"/>
  <c r="O44" i="6"/>
  <c r="O45" i="6"/>
  <c r="O46" i="6"/>
  <c r="O47" i="6"/>
  <c r="O48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70" i="6"/>
  <c r="O71" i="6"/>
  <c r="O73" i="6"/>
  <c r="O74" i="6"/>
  <c r="O75" i="6"/>
  <c r="O77" i="6"/>
  <c r="N16" i="6"/>
  <c r="N17" i="6"/>
  <c r="N18" i="6"/>
  <c r="P18" i="6" s="1"/>
  <c r="N19" i="6"/>
  <c r="P19" i="6" s="1"/>
  <c r="N20" i="6"/>
  <c r="P20" i="6" s="1"/>
  <c r="N22" i="6"/>
  <c r="P22" i="6" s="1"/>
  <c r="N25" i="6"/>
  <c r="P25" i="6" s="1"/>
  <c r="N27" i="6"/>
  <c r="P27" i="6" s="1"/>
  <c r="N28" i="6"/>
  <c r="P28" i="6" s="1"/>
  <c r="N29" i="6"/>
  <c r="P29" i="6" s="1"/>
  <c r="N30" i="6"/>
  <c r="P30" i="6" s="1"/>
  <c r="N31" i="6"/>
  <c r="P31" i="6" s="1"/>
  <c r="N33" i="6"/>
  <c r="P33" i="6" s="1"/>
  <c r="N35" i="6"/>
  <c r="P35" i="6" s="1"/>
  <c r="N36" i="6"/>
  <c r="P36" i="6" s="1"/>
  <c r="N38" i="6"/>
  <c r="P38" i="6" s="1"/>
  <c r="N39" i="6"/>
  <c r="P39" i="6" s="1"/>
  <c r="N41" i="6"/>
  <c r="P41" i="6" s="1"/>
  <c r="N42" i="6"/>
  <c r="P42" i="6" s="1"/>
  <c r="N44" i="6"/>
  <c r="N45" i="6"/>
  <c r="N46" i="6"/>
  <c r="N47" i="6"/>
  <c r="N48" i="6"/>
  <c r="N50" i="6"/>
  <c r="P50" i="6" s="1"/>
  <c r="N51" i="6"/>
  <c r="P51" i="6" s="1"/>
  <c r="N52" i="6"/>
  <c r="N53" i="6"/>
  <c r="N54" i="6"/>
  <c r="N55" i="6"/>
  <c r="N56" i="6"/>
  <c r="N57" i="6"/>
  <c r="P57" i="6" s="1"/>
  <c r="N58" i="6"/>
  <c r="N59" i="6"/>
  <c r="N60" i="6"/>
  <c r="N61" i="6"/>
  <c r="N62" i="6"/>
  <c r="N63" i="6"/>
  <c r="N64" i="6"/>
  <c r="N65" i="6"/>
  <c r="N66" i="6"/>
  <c r="N67" i="6"/>
  <c r="N68" i="6"/>
  <c r="P68" i="6" s="1"/>
  <c r="N70" i="6"/>
  <c r="N71" i="6"/>
  <c r="N73" i="6"/>
  <c r="P73" i="6" s="1"/>
  <c r="N74" i="6"/>
  <c r="N75" i="6"/>
  <c r="P75" i="6" s="1"/>
  <c r="N77" i="6"/>
  <c r="P77" i="6" s="1"/>
  <c r="P76" i="6" s="1"/>
  <c r="M16" i="6"/>
  <c r="M17" i="6"/>
  <c r="M19" i="6"/>
  <c r="M22" i="6"/>
  <c r="M25" i="6"/>
  <c r="M27" i="6"/>
  <c r="M28" i="6"/>
  <c r="M29" i="6"/>
  <c r="M30" i="6"/>
  <c r="M31" i="6"/>
  <c r="M33" i="6"/>
  <c r="M35" i="6"/>
  <c r="M36" i="6"/>
  <c r="M38" i="6"/>
  <c r="M39" i="6"/>
  <c r="M41" i="6"/>
  <c r="M42" i="6"/>
  <c r="M44" i="6"/>
  <c r="M45" i="6"/>
  <c r="M46" i="6"/>
  <c r="M47" i="6"/>
  <c r="M48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70" i="6"/>
  <c r="M71" i="6"/>
  <c r="M73" i="6"/>
  <c r="M74" i="6"/>
  <c r="M75" i="6"/>
  <c r="M77" i="6"/>
  <c r="M76" i="6" s="1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8" i="6"/>
  <c r="L39" i="6"/>
  <c r="L41" i="6"/>
  <c r="L42" i="6"/>
  <c r="L44" i="6"/>
  <c r="L45" i="6"/>
  <c r="L46" i="6"/>
  <c r="L47" i="6"/>
  <c r="L48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70" i="6"/>
  <c r="L71" i="6"/>
  <c r="L73" i="6"/>
  <c r="L74" i="6"/>
  <c r="L75" i="6"/>
  <c r="L77" i="6"/>
  <c r="O15" i="6"/>
  <c r="N15" i="6"/>
  <c r="P15" i="6" s="1"/>
  <c r="M15" i="6"/>
  <c r="L15" i="6"/>
  <c r="J82" i="5"/>
  <c r="P72" i="5"/>
  <c r="P45" i="5"/>
  <c r="M45" i="5"/>
  <c r="P69" i="2"/>
  <c r="M69" i="2"/>
  <c r="P113" i="2"/>
  <c r="M113" i="2"/>
  <c r="J126" i="2"/>
  <c r="P75" i="12" l="1"/>
  <c r="P67" i="12"/>
  <c r="P57" i="12"/>
  <c r="P108" i="12"/>
  <c r="P99" i="12"/>
  <c r="P91" i="12"/>
  <c r="P74" i="12"/>
  <c r="P22" i="12"/>
  <c r="P115" i="12"/>
  <c r="P106" i="12"/>
  <c r="P98" i="12"/>
  <c r="P90" i="12"/>
  <c r="P82" i="12"/>
  <c r="P73" i="12"/>
  <c r="P65" i="12"/>
  <c r="P55" i="12"/>
  <c r="P42" i="12"/>
  <c r="P32" i="12"/>
  <c r="P21" i="12"/>
  <c r="P114" i="12"/>
  <c r="P105" i="12"/>
  <c r="P97" i="12"/>
  <c r="P89" i="12"/>
  <c r="P81" i="12"/>
  <c r="P72" i="12"/>
  <c r="P62" i="12"/>
  <c r="P54" i="12"/>
  <c r="P41" i="12"/>
  <c r="P29" i="12"/>
  <c r="P20" i="12"/>
  <c r="P113" i="12"/>
  <c r="P104" i="12"/>
  <c r="P96" i="12"/>
  <c r="P88" i="12"/>
  <c r="P80" i="12"/>
  <c r="P71" i="12"/>
  <c r="P61" i="12"/>
  <c r="P52" i="12"/>
  <c r="P40" i="12"/>
  <c r="P28" i="12"/>
  <c r="P19" i="12"/>
  <c r="P47" i="12"/>
  <c r="P112" i="12"/>
  <c r="P103" i="12"/>
  <c r="P95" i="12"/>
  <c r="P87" i="12"/>
  <c r="P78" i="12"/>
  <c r="P70" i="12"/>
  <c r="P60" i="12"/>
  <c r="P51" i="12"/>
  <c r="P37" i="12"/>
  <c r="P27" i="12"/>
  <c r="P18" i="12"/>
  <c r="P39" i="12"/>
  <c r="M123" i="12"/>
  <c r="P111" i="12"/>
  <c r="P102" i="12"/>
  <c r="P94" i="12"/>
  <c r="P86" i="12"/>
  <c r="P77" i="12"/>
  <c r="P69" i="12"/>
  <c r="P59" i="12"/>
  <c r="P49" i="12"/>
  <c r="P48" i="12" s="1"/>
  <c r="P36" i="12"/>
  <c r="P26" i="12"/>
  <c r="P17" i="12"/>
  <c r="P31" i="12"/>
  <c r="P15" i="12"/>
  <c r="P110" i="12"/>
  <c r="P93" i="12"/>
  <c r="P85" i="12"/>
  <c r="P76" i="12"/>
  <c r="P58" i="12"/>
  <c r="P45" i="12"/>
  <c r="P35" i="12"/>
  <c r="P25" i="12"/>
  <c r="P16" i="12"/>
  <c r="P117" i="12"/>
  <c r="M67" i="35"/>
  <c r="M66" i="35" s="1"/>
  <c r="N67" i="35"/>
  <c r="P67" i="35" s="1"/>
  <c r="P66" i="35" s="1"/>
  <c r="N38" i="35"/>
  <c r="P38" i="35" s="1"/>
  <c r="P14" i="35" s="1"/>
  <c r="M38" i="35"/>
  <c r="M30" i="35"/>
  <c r="N30" i="35"/>
  <c r="P30" i="35" s="1"/>
  <c r="M22" i="35"/>
  <c r="N22" i="35"/>
  <c r="P22" i="35" s="1"/>
  <c r="M37" i="35"/>
  <c r="M29" i="35"/>
  <c r="M21" i="35"/>
  <c r="P41" i="35"/>
  <c r="M15" i="35"/>
  <c r="M36" i="35"/>
  <c r="M28" i="35"/>
  <c r="M20" i="35"/>
  <c r="M35" i="35"/>
  <c r="M27" i="35"/>
  <c r="M19" i="35"/>
  <c r="M74" i="35"/>
  <c r="M34" i="35"/>
  <c r="M26" i="35"/>
  <c r="M71" i="35"/>
  <c r="M70" i="35" s="1"/>
  <c r="M33" i="35"/>
  <c r="M25" i="35"/>
  <c r="M69" i="35"/>
  <c r="M32" i="35"/>
  <c r="M24" i="35"/>
  <c r="M40" i="35"/>
  <c r="M39" i="35" s="1"/>
  <c r="P61" i="35"/>
  <c r="P45" i="32"/>
  <c r="P19" i="32"/>
  <c r="P47" i="32"/>
  <c r="P55" i="32"/>
  <c r="P31" i="32"/>
  <c r="P23" i="32"/>
  <c r="P15" i="32"/>
  <c r="P30" i="32"/>
  <c r="P22" i="32"/>
  <c r="N29" i="32"/>
  <c r="P29" i="32" s="1"/>
  <c r="M29" i="32"/>
  <c r="N68" i="32"/>
  <c r="P68" i="32" s="1"/>
  <c r="P67" i="32" s="1"/>
  <c r="M68" i="32"/>
  <c r="M67" i="32" s="1"/>
  <c r="N52" i="32"/>
  <c r="P52" i="32" s="1"/>
  <c r="M52" i="32"/>
  <c r="N44" i="32"/>
  <c r="P44" i="32" s="1"/>
  <c r="M44" i="32"/>
  <c r="M36" i="32"/>
  <c r="M34" i="32" s="1"/>
  <c r="N36" i="32"/>
  <c r="P36" i="32" s="1"/>
  <c r="P34" i="32" s="1"/>
  <c r="N28" i="32"/>
  <c r="P28" i="32" s="1"/>
  <c r="M28" i="32"/>
  <c r="N20" i="32"/>
  <c r="P20" i="32" s="1"/>
  <c r="M20" i="32"/>
  <c r="N21" i="32"/>
  <c r="P21" i="32" s="1"/>
  <c r="M21" i="32"/>
  <c r="N66" i="32"/>
  <c r="P66" i="32" s="1"/>
  <c r="P64" i="32" s="1"/>
  <c r="M66" i="32"/>
  <c r="M64" i="32" s="1"/>
  <c r="N41" i="32"/>
  <c r="P41" i="32" s="1"/>
  <c r="P40" i="32" s="1"/>
  <c r="M41" i="32"/>
  <c r="M40" i="32" s="1"/>
  <c r="N33" i="32"/>
  <c r="P33" i="32" s="1"/>
  <c r="M33" i="32"/>
  <c r="M25" i="32"/>
  <c r="N25" i="32"/>
  <c r="P25" i="32" s="1"/>
  <c r="M17" i="32"/>
  <c r="N17" i="32"/>
  <c r="P17" i="32" s="1"/>
  <c r="M63" i="32"/>
  <c r="N63" i="32"/>
  <c r="P63" i="32" s="1"/>
  <c r="M39" i="32"/>
  <c r="N39" i="32"/>
  <c r="P39" i="32" s="1"/>
  <c r="M38" i="32"/>
  <c r="N38" i="32"/>
  <c r="P38" i="32" s="1"/>
  <c r="N26" i="32"/>
  <c r="P26" i="32" s="1"/>
  <c r="M15" i="32"/>
  <c r="M18" i="32"/>
  <c r="P52" i="33"/>
  <c r="M52" i="33"/>
  <c r="M48" i="16"/>
  <c r="P48" i="16"/>
  <c r="P15" i="16"/>
  <c r="P14" i="16" s="1"/>
  <c r="P97" i="16"/>
  <c r="M31" i="35"/>
  <c r="M23" i="35"/>
  <c r="M14" i="35" s="1"/>
  <c r="M73" i="35"/>
  <c r="M72" i="35" s="1"/>
  <c r="M61" i="35"/>
  <c r="M41" i="35"/>
  <c r="P48" i="35"/>
  <c r="M48" i="35"/>
  <c r="P75" i="33"/>
  <c r="M75" i="33"/>
  <c r="M64" i="33"/>
  <c r="P64" i="33"/>
  <c r="P49" i="33"/>
  <c r="P46" i="33"/>
  <c r="M40" i="33"/>
  <c r="M32" i="33"/>
  <c r="M24" i="33"/>
  <c r="P14" i="33"/>
  <c r="M31" i="32"/>
  <c r="M23" i="32"/>
  <c r="M30" i="32"/>
  <c r="M22" i="32"/>
  <c r="P75" i="31"/>
  <c r="M75" i="31"/>
  <c r="P50" i="31"/>
  <c r="P37" i="31"/>
  <c r="P34" i="31"/>
  <c r="M31" i="31"/>
  <c r="M23" i="31"/>
  <c r="P14" i="31"/>
  <c r="M14" i="31"/>
  <c r="M82" i="30"/>
  <c r="P82" i="30"/>
  <c r="P51" i="30"/>
  <c r="M51" i="30"/>
  <c r="P35" i="30"/>
  <c r="M31" i="30"/>
  <c r="N31" i="30"/>
  <c r="P31" i="30" s="1"/>
  <c r="M14" i="30"/>
  <c r="P14" i="30"/>
  <c r="P78" i="29"/>
  <c r="P38" i="29"/>
  <c r="M31" i="29"/>
  <c r="M23" i="29"/>
  <c r="M14" i="29"/>
  <c r="M35" i="29"/>
  <c r="M27" i="29"/>
  <c r="M19" i="29"/>
  <c r="M34" i="29"/>
  <c r="M26" i="29"/>
  <c r="M18" i="29"/>
  <c r="P54" i="29"/>
  <c r="P44" i="29"/>
  <c r="P75" i="29"/>
  <c r="M54" i="29"/>
  <c r="M44" i="29"/>
  <c r="P41" i="29"/>
  <c r="M38" i="29"/>
  <c r="M78" i="29"/>
  <c r="M41" i="29"/>
  <c r="P14" i="29"/>
  <c r="M81" i="28"/>
  <c r="P41" i="28"/>
  <c r="P39" i="28"/>
  <c r="P38" i="28" s="1"/>
  <c r="M31" i="28"/>
  <c r="M23" i="28"/>
  <c r="M14" i="28" s="1"/>
  <c r="P30" i="28"/>
  <c r="P22" i="28"/>
  <c r="P14" i="28" s="1"/>
  <c r="M38" i="28"/>
  <c r="M55" i="28"/>
  <c r="M46" i="28"/>
  <c r="P81" i="28"/>
  <c r="P55" i="28"/>
  <c r="P46" i="28"/>
  <c r="M76" i="28"/>
  <c r="M41" i="28"/>
  <c r="P76" i="27"/>
  <c r="M76" i="27"/>
  <c r="P43" i="27"/>
  <c r="P40" i="27"/>
  <c r="M40" i="27"/>
  <c r="M37" i="27"/>
  <c r="M29" i="27"/>
  <c r="M21" i="27"/>
  <c r="M39" i="27"/>
  <c r="M31" i="27"/>
  <c r="M23" i="27"/>
  <c r="M55" i="27"/>
  <c r="M46" i="27"/>
  <c r="P55" i="27"/>
  <c r="P46" i="27"/>
  <c r="N15" i="27"/>
  <c r="P15" i="27" s="1"/>
  <c r="P14" i="27" s="1"/>
  <c r="M15" i="27"/>
  <c r="M14" i="27" s="1"/>
  <c r="P74" i="26"/>
  <c r="P52" i="26"/>
  <c r="P39" i="26"/>
  <c r="M36" i="26"/>
  <c r="P36" i="26"/>
  <c r="P14" i="26"/>
  <c r="M14" i="26"/>
  <c r="M81" i="26" s="1"/>
  <c r="M85" i="25"/>
  <c r="P85" i="25"/>
  <c r="M61" i="25"/>
  <c r="P61" i="25"/>
  <c r="M43" i="25"/>
  <c r="P43" i="25"/>
  <c r="M40" i="25"/>
  <c r="P40" i="25"/>
  <c r="M39" i="25"/>
  <c r="M31" i="25"/>
  <c r="M23" i="25"/>
  <c r="M14" i="25" s="1"/>
  <c r="P14" i="25"/>
  <c r="M42" i="24"/>
  <c r="P42" i="24"/>
  <c r="M32" i="24"/>
  <c r="M24" i="24"/>
  <c r="M16" i="24"/>
  <c r="M38" i="24"/>
  <c r="M30" i="24"/>
  <c r="M22" i="24"/>
  <c r="M36" i="24"/>
  <c r="M28" i="24"/>
  <c r="M20" i="24"/>
  <c r="P39" i="24"/>
  <c r="M37" i="24"/>
  <c r="M29" i="24"/>
  <c r="M21" i="24"/>
  <c r="M31" i="24"/>
  <c r="M23" i="24"/>
  <c r="M72" i="24"/>
  <c r="P75" i="24"/>
  <c r="M53" i="24"/>
  <c r="P47" i="24"/>
  <c r="P14" i="24"/>
  <c r="P53" i="24"/>
  <c r="M75" i="24"/>
  <c r="P92" i="23"/>
  <c r="M92" i="23"/>
  <c r="P62" i="23"/>
  <c r="M62" i="23"/>
  <c r="P43" i="23"/>
  <c r="M43" i="23"/>
  <c r="P40" i="23"/>
  <c r="M40" i="23"/>
  <c r="M30" i="23"/>
  <c r="M14" i="23" s="1"/>
  <c r="N30" i="23"/>
  <c r="P30" i="23" s="1"/>
  <c r="N39" i="23"/>
  <c r="P39" i="23" s="1"/>
  <c r="N31" i="23"/>
  <c r="P31" i="23" s="1"/>
  <c r="N23" i="23"/>
  <c r="P23" i="23" s="1"/>
  <c r="P14" i="23" s="1"/>
  <c r="M25" i="22"/>
  <c r="M41" i="22"/>
  <c r="M40" i="22" s="1"/>
  <c r="M17" i="22"/>
  <c r="M14" i="22" s="1"/>
  <c r="M39" i="22"/>
  <c r="M37" i="22" s="1"/>
  <c r="M43" i="22"/>
  <c r="M36" i="22"/>
  <c r="M28" i="22"/>
  <c r="M20" i="22"/>
  <c r="M35" i="22"/>
  <c r="M27" i="22"/>
  <c r="M19" i="22"/>
  <c r="M33" i="22"/>
  <c r="M44" i="22"/>
  <c r="P37" i="22"/>
  <c r="M31" i="22"/>
  <c r="M23" i="22"/>
  <c r="M74" i="22"/>
  <c r="P53" i="22"/>
  <c r="P74" i="22"/>
  <c r="M47" i="22"/>
  <c r="P14" i="22"/>
  <c r="P40" i="22"/>
  <c r="M53" i="22"/>
  <c r="P47" i="22"/>
  <c r="P79" i="21"/>
  <c r="M55" i="21"/>
  <c r="P55" i="21"/>
  <c r="M41" i="21"/>
  <c r="P41" i="21"/>
  <c r="P38" i="21"/>
  <c r="M35" i="21"/>
  <c r="N35" i="21"/>
  <c r="P35" i="21" s="1"/>
  <c r="N27" i="21"/>
  <c r="P27" i="21" s="1"/>
  <c r="M27" i="21"/>
  <c r="N19" i="21"/>
  <c r="P19" i="21" s="1"/>
  <c r="M19" i="21"/>
  <c r="N26" i="21"/>
  <c r="P26" i="21" s="1"/>
  <c r="N34" i="21"/>
  <c r="P34" i="21" s="1"/>
  <c r="M31" i="21"/>
  <c r="M23" i="21"/>
  <c r="P14" i="21"/>
  <c r="P79" i="20"/>
  <c r="P38" i="20"/>
  <c r="N31" i="20"/>
  <c r="P31" i="20" s="1"/>
  <c r="M31" i="20"/>
  <c r="M36" i="20"/>
  <c r="N36" i="20"/>
  <c r="P36" i="20" s="1"/>
  <c r="N28" i="20"/>
  <c r="P28" i="20" s="1"/>
  <c r="M28" i="20"/>
  <c r="N20" i="20"/>
  <c r="P20" i="20" s="1"/>
  <c r="P14" i="20" s="1"/>
  <c r="M20" i="20"/>
  <c r="M34" i="20"/>
  <c r="M26" i="20"/>
  <c r="M18" i="20"/>
  <c r="M14" i="20" s="1"/>
  <c r="M32" i="20"/>
  <c r="M24" i="20"/>
  <c r="M16" i="20"/>
  <c r="M23" i="20"/>
  <c r="P41" i="20"/>
  <c r="M55" i="20"/>
  <c r="P49" i="20"/>
  <c r="M41" i="20"/>
  <c r="M49" i="20"/>
  <c r="P55" i="20"/>
  <c r="M79" i="19"/>
  <c r="P37" i="19"/>
  <c r="M39" i="19"/>
  <c r="M38" i="19"/>
  <c r="M37" i="19" s="1"/>
  <c r="M30" i="19"/>
  <c r="M22" i="19"/>
  <c r="M36" i="19"/>
  <c r="M28" i="19"/>
  <c r="M20" i="19"/>
  <c r="M35" i="19"/>
  <c r="M27" i="19"/>
  <c r="M19" i="19"/>
  <c r="M29" i="19"/>
  <c r="M21" i="19"/>
  <c r="M34" i="19"/>
  <c r="M26" i="19"/>
  <c r="M18" i="19"/>
  <c r="M31" i="19"/>
  <c r="M23" i="19"/>
  <c r="P15" i="19"/>
  <c r="P14" i="19" s="1"/>
  <c r="P76" i="19"/>
  <c r="M49" i="19"/>
  <c r="M40" i="19"/>
  <c r="M76" i="19"/>
  <c r="P49" i="19"/>
  <c r="P40" i="19"/>
  <c r="M55" i="19"/>
  <c r="P55" i="19"/>
  <c r="P78" i="18"/>
  <c r="P54" i="18"/>
  <c r="M54" i="18"/>
  <c r="M39" i="18"/>
  <c r="P39" i="18"/>
  <c r="P36" i="18"/>
  <c r="M14" i="18"/>
  <c r="N31" i="18"/>
  <c r="P31" i="18" s="1"/>
  <c r="N23" i="18"/>
  <c r="P23" i="18" s="1"/>
  <c r="P14" i="18"/>
  <c r="P70" i="17"/>
  <c r="P67" i="17"/>
  <c r="M67" i="17"/>
  <c r="P39" i="17"/>
  <c r="M34" i="17"/>
  <c r="N34" i="17"/>
  <c r="P34" i="17" s="1"/>
  <c r="N26" i="17"/>
  <c r="P26" i="17" s="1"/>
  <c r="M26" i="17"/>
  <c r="M18" i="17"/>
  <c r="N18" i="17"/>
  <c r="P18" i="17" s="1"/>
  <c r="M35" i="17"/>
  <c r="M19" i="17"/>
  <c r="M31" i="17"/>
  <c r="M23" i="17"/>
  <c r="P15" i="17"/>
  <c r="P14" i="17" s="1"/>
  <c r="M39" i="17"/>
  <c r="M44" i="17"/>
  <c r="P50" i="17"/>
  <c r="P44" i="17"/>
  <c r="P36" i="17"/>
  <c r="M50" i="17"/>
  <c r="M97" i="16"/>
  <c r="M62" i="16"/>
  <c r="M51" i="16"/>
  <c r="P62" i="16"/>
  <c r="M68" i="16"/>
  <c r="M14" i="16"/>
  <c r="P51" i="16"/>
  <c r="P68" i="16"/>
  <c r="M39" i="7"/>
  <c r="N39" i="7"/>
  <c r="P39" i="7" s="1"/>
  <c r="M31" i="7"/>
  <c r="N31" i="7"/>
  <c r="P31" i="7" s="1"/>
  <c r="N23" i="7"/>
  <c r="P23" i="7" s="1"/>
  <c r="M23" i="7"/>
  <c r="M35" i="7"/>
  <c r="N21" i="7"/>
  <c r="P21" i="7" s="1"/>
  <c r="N19" i="7"/>
  <c r="P19" i="7" s="1"/>
  <c r="N55" i="8"/>
  <c r="P55" i="8" s="1"/>
  <c r="M55" i="8"/>
  <c r="N39" i="8"/>
  <c r="P39" i="8" s="1"/>
  <c r="P37" i="8" s="1"/>
  <c r="M39" i="8"/>
  <c r="M37" i="8" s="1"/>
  <c r="N80" i="8"/>
  <c r="P80" i="8" s="1"/>
  <c r="M80" i="8"/>
  <c r="M77" i="8" s="1"/>
  <c r="M54" i="8"/>
  <c r="M19" i="8"/>
  <c r="M27" i="8"/>
  <c r="N92" i="9"/>
  <c r="P92" i="9" s="1"/>
  <c r="P91" i="9" s="1"/>
  <c r="M92" i="9"/>
  <c r="M20" i="9"/>
  <c r="M14" i="9" s="1"/>
  <c r="N20" i="9"/>
  <c r="P20" i="9" s="1"/>
  <c r="M95" i="9"/>
  <c r="M94" i="9" s="1"/>
  <c r="N95" i="9"/>
  <c r="P95" i="9" s="1"/>
  <c r="N47" i="9"/>
  <c r="P47" i="9" s="1"/>
  <c r="M47" i="9"/>
  <c r="M46" i="9" s="1"/>
  <c r="M96" i="9"/>
  <c r="N96" i="9"/>
  <c r="P96" i="9" s="1"/>
  <c r="M88" i="9"/>
  <c r="N88" i="9"/>
  <c r="P88" i="9" s="1"/>
  <c r="N31" i="9"/>
  <c r="P31" i="9" s="1"/>
  <c r="M75" i="9"/>
  <c r="N16" i="9"/>
  <c r="P16" i="9" s="1"/>
  <c r="N31" i="10"/>
  <c r="P31" i="10" s="1"/>
  <c r="M31" i="10"/>
  <c r="N23" i="10"/>
  <c r="P23" i="10" s="1"/>
  <c r="M23" i="10"/>
  <c r="M82" i="10"/>
  <c r="M81" i="10" s="1"/>
  <c r="N82" i="10"/>
  <c r="P82" i="10" s="1"/>
  <c r="P81" i="10" s="1"/>
  <c r="M18" i="10"/>
  <c r="N18" i="10"/>
  <c r="P18" i="10" s="1"/>
  <c r="N41" i="10"/>
  <c r="P41" i="10" s="1"/>
  <c r="M41" i="10"/>
  <c r="N40" i="10"/>
  <c r="P40" i="10" s="1"/>
  <c r="P39" i="10" s="1"/>
  <c r="M40" i="10"/>
  <c r="M39" i="10" s="1"/>
  <c r="N32" i="10"/>
  <c r="P32" i="10" s="1"/>
  <c r="M32" i="10"/>
  <c r="N24" i="10"/>
  <c r="P24" i="10" s="1"/>
  <c r="M24" i="10"/>
  <c r="N37" i="10"/>
  <c r="P37" i="10" s="1"/>
  <c r="P36" i="10" s="1"/>
  <c r="M77" i="11"/>
  <c r="M76" i="11" s="1"/>
  <c r="N77" i="11"/>
  <c r="P77" i="11" s="1"/>
  <c r="P76" i="11" s="1"/>
  <c r="N37" i="11"/>
  <c r="P37" i="11" s="1"/>
  <c r="P36" i="11" s="1"/>
  <c r="M37" i="11"/>
  <c r="M36" i="11" s="1"/>
  <c r="M29" i="11"/>
  <c r="N29" i="11"/>
  <c r="P29" i="11" s="1"/>
  <c r="M21" i="11"/>
  <c r="N21" i="11"/>
  <c r="P21" i="11" s="1"/>
  <c r="M25" i="11"/>
  <c r="N40" i="11"/>
  <c r="P40" i="11" s="1"/>
  <c r="N15" i="11"/>
  <c r="P15" i="11" s="1"/>
  <c r="M15" i="11"/>
  <c r="M14" i="11" s="1"/>
  <c r="N119" i="12"/>
  <c r="P119" i="12" s="1"/>
  <c r="N79" i="12"/>
  <c r="P79" i="12" s="1"/>
  <c r="N64" i="12"/>
  <c r="P64" i="12" s="1"/>
  <c r="N23" i="12"/>
  <c r="P23" i="12" s="1"/>
  <c r="M83" i="13"/>
  <c r="M81" i="13"/>
  <c r="M35" i="13"/>
  <c r="M27" i="13"/>
  <c r="M19" i="13"/>
  <c r="M36" i="13"/>
  <c r="N36" i="13"/>
  <c r="P36" i="13" s="1"/>
  <c r="P14" i="13" s="1"/>
  <c r="N28" i="13"/>
  <c r="M28" i="13"/>
  <c r="N20" i="13"/>
  <c r="M20" i="13"/>
  <c r="M34" i="13"/>
  <c r="M26" i="13"/>
  <c r="M18" i="13"/>
  <c r="M76" i="13"/>
  <c r="M32" i="13"/>
  <c r="M24" i="13"/>
  <c r="M49" i="13"/>
  <c r="M42" i="13" s="1"/>
  <c r="M40" i="13"/>
  <c r="M39" i="13" s="1"/>
  <c r="M31" i="13"/>
  <c r="M23" i="13"/>
  <c r="M58" i="13"/>
  <c r="M38" i="13"/>
  <c r="M30" i="13"/>
  <c r="M22" i="13"/>
  <c r="N71" i="14"/>
  <c r="P71" i="14" s="1"/>
  <c r="M71" i="14"/>
  <c r="M19" i="14"/>
  <c r="N19" i="14"/>
  <c r="P19" i="14" s="1"/>
  <c r="N42" i="14"/>
  <c r="P42" i="14" s="1"/>
  <c r="P39" i="14" s="1"/>
  <c r="M42" i="14"/>
  <c r="N59" i="14"/>
  <c r="P59" i="14" s="1"/>
  <c r="M22" i="14"/>
  <c r="N31" i="14"/>
  <c r="P31" i="14" s="1"/>
  <c r="M31" i="14"/>
  <c r="N23" i="14"/>
  <c r="P23" i="14" s="1"/>
  <c r="M23" i="14"/>
  <c r="N78" i="14"/>
  <c r="P78" i="14" s="1"/>
  <c r="M78" i="14"/>
  <c r="M38" i="14"/>
  <c r="N38" i="14"/>
  <c r="P38" i="14" s="1"/>
  <c r="N52" i="14"/>
  <c r="P52" i="14" s="1"/>
  <c r="M52" i="14"/>
  <c r="N51" i="14"/>
  <c r="P51" i="14" s="1"/>
  <c r="M51" i="14"/>
  <c r="M50" i="14" s="1"/>
  <c r="N80" i="14"/>
  <c r="P80" i="14" s="1"/>
  <c r="P79" i="14" s="1"/>
  <c r="M80" i="14"/>
  <c r="M79" i="14" s="1"/>
  <c r="N32" i="14"/>
  <c r="P32" i="14" s="1"/>
  <c r="M32" i="14"/>
  <c r="N24" i="14"/>
  <c r="P24" i="14" s="1"/>
  <c r="M24" i="14"/>
  <c r="M34" i="14"/>
  <c r="M26" i="14"/>
  <c r="M18" i="14"/>
  <c r="M75" i="14"/>
  <c r="P53" i="15"/>
  <c r="P39" i="15"/>
  <c r="P36" i="15"/>
  <c r="P14" i="15"/>
  <c r="P75" i="14"/>
  <c r="P50" i="14"/>
  <c r="M39" i="14"/>
  <c r="M36" i="14"/>
  <c r="P36" i="14"/>
  <c r="M37" i="13"/>
  <c r="M29" i="13"/>
  <c r="M21" i="13"/>
  <c r="P28" i="13"/>
  <c r="P20" i="13"/>
  <c r="P56" i="13"/>
  <c r="M80" i="13"/>
  <c r="P80" i="13"/>
  <c r="M50" i="13"/>
  <c r="P77" i="13"/>
  <c r="P42" i="13"/>
  <c r="P50" i="13"/>
  <c r="P107" i="12"/>
  <c r="P50" i="12"/>
  <c r="P53" i="12"/>
  <c r="N46" i="12"/>
  <c r="P46" i="12" s="1"/>
  <c r="N38" i="12"/>
  <c r="P38" i="12" s="1"/>
  <c r="N30" i="12"/>
  <c r="P30" i="12" s="1"/>
  <c r="M72" i="11"/>
  <c r="M91" i="9"/>
  <c r="N28" i="9"/>
  <c r="P28" i="9" s="1"/>
  <c r="N35" i="9"/>
  <c r="P35" i="9" s="1"/>
  <c r="N27" i="9"/>
  <c r="P27" i="9" s="1"/>
  <c r="M36" i="9"/>
  <c r="M23" i="8"/>
  <c r="M31" i="8"/>
  <c r="M32" i="6"/>
  <c r="M23" i="6"/>
  <c r="N23" i="6"/>
  <c r="P23" i="6" s="1"/>
  <c r="N21" i="6"/>
  <c r="P21" i="6" s="1"/>
  <c r="M21" i="6"/>
  <c r="M24" i="6"/>
  <c r="N24" i="6"/>
  <c r="P24" i="6" s="1"/>
  <c r="P72" i="11"/>
  <c r="M48" i="11"/>
  <c r="M39" i="11"/>
  <c r="P39" i="11"/>
  <c r="P48" i="11"/>
  <c r="N34" i="11"/>
  <c r="P34" i="11" s="1"/>
  <c r="N26" i="11"/>
  <c r="P26" i="11" s="1"/>
  <c r="P14" i="11" s="1"/>
  <c r="P77" i="10"/>
  <c r="M48" i="10"/>
  <c r="P48" i="10"/>
  <c r="M36" i="10"/>
  <c r="M34" i="10"/>
  <c r="M26" i="10"/>
  <c r="P14" i="10"/>
  <c r="P94" i="9"/>
  <c r="P64" i="9"/>
  <c r="P49" i="9"/>
  <c r="P46" i="9"/>
  <c r="M79" i="7"/>
  <c r="M37" i="6"/>
  <c r="P77" i="8"/>
  <c r="M53" i="8"/>
  <c r="P53" i="8"/>
  <c r="M40" i="8"/>
  <c r="P40" i="8"/>
  <c r="M34" i="8"/>
  <c r="M26" i="8"/>
  <c r="M14" i="8" s="1"/>
  <c r="P14" i="8"/>
  <c r="P79" i="7"/>
  <c r="P55" i="7"/>
  <c r="M55" i="7"/>
  <c r="P40" i="7"/>
  <c r="M40" i="7"/>
  <c r="M37" i="7"/>
  <c r="P37" i="7"/>
  <c r="M14" i="7"/>
  <c r="N34" i="7"/>
  <c r="P34" i="7" s="1"/>
  <c r="N26" i="7"/>
  <c r="P26" i="7" s="1"/>
  <c r="P14" i="7" s="1"/>
  <c r="P72" i="6"/>
  <c r="M72" i="6"/>
  <c r="M49" i="6"/>
  <c r="P49" i="6"/>
  <c r="P40" i="6"/>
  <c r="M40" i="6"/>
  <c r="P37" i="6"/>
  <c r="M14" i="6"/>
  <c r="N34" i="6"/>
  <c r="P34" i="6" s="1"/>
  <c r="N26" i="6"/>
  <c r="P26" i="6" s="1"/>
  <c r="M83" i="27"/>
  <c r="P16" i="5"/>
  <c r="P17" i="5"/>
  <c r="P41" i="5"/>
  <c r="P42" i="5"/>
  <c r="P46" i="5"/>
  <c r="P47" i="5"/>
  <c r="P48" i="5"/>
  <c r="P49" i="5"/>
  <c r="P50" i="5"/>
  <c r="P54" i="5"/>
  <c r="P55" i="5"/>
  <c r="P56" i="5"/>
  <c r="P57" i="5"/>
  <c r="P58" i="5"/>
  <c r="P59" i="5"/>
  <c r="P61" i="5"/>
  <c r="P62" i="5"/>
  <c r="P63" i="5"/>
  <c r="P64" i="5"/>
  <c r="P65" i="5"/>
  <c r="P66" i="5"/>
  <c r="P67" i="5"/>
  <c r="P68" i="5"/>
  <c r="P69" i="5"/>
  <c r="P70" i="5"/>
  <c r="P73" i="5"/>
  <c r="P74" i="5"/>
  <c r="P77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15" i="5"/>
  <c r="N16" i="5"/>
  <c r="N17" i="5"/>
  <c r="N18" i="5"/>
  <c r="P18" i="5" s="1"/>
  <c r="N19" i="5"/>
  <c r="P19" i="5" s="1"/>
  <c r="N20" i="5"/>
  <c r="P20" i="5" s="1"/>
  <c r="N21" i="5"/>
  <c r="P21" i="5" s="1"/>
  <c r="N22" i="5"/>
  <c r="P22" i="5" s="1"/>
  <c r="N23" i="5"/>
  <c r="P23" i="5" s="1"/>
  <c r="N24" i="5"/>
  <c r="P24" i="5" s="1"/>
  <c r="N25" i="5"/>
  <c r="P25" i="5" s="1"/>
  <c r="N26" i="5"/>
  <c r="P26" i="5" s="1"/>
  <c r="N27" i="5"/>
  <c r="P27" i="5" s="1"/>
  <c r="N28" i="5"/>
  <c r="P28" i="5" s="1"/>
  <c r="N29" i="5"/>
  <c r="P29" i="5" s="1"/>
  <c r="N30" i="5"/>
  <c r="P30" i="5" s="1"/>
  <c r="N31" i="5"/>
  <c r="P31" i="5" s="1"/>
  <c r="N32" i="5"/>
  <c r="P32" i="5" s="1"/>
  <c r="N33" i="5"/>
  <c r="P33" i="5" s="1"/>
  <c r="N34" i="5"/>
  <c r="P34" i="5" s="1"/>
  <c r="N35" i="5"/>
  <c r="P35" i="5" s="1"/>
  <c r="N36" i="5"/>
  <c r="P36" i="5" s="1"/>
  <c r="N37" i="5"/>
  <c r="N38" i="5"/>
  <c r="P38" i="5" s="1"/>
  <c r="N39" i="5"/>
  <c r="P39" i="5" s="1"/>
  <c r="N40" i="5"/>
  <c r="N41" i="5"/>
  <c r="N42" i="5"/>
  <c r="N43" i="5"/>
  <c r="P43" i="5" s="1"/>
  <c r="N44" i="5"/>
  <c r="P44" i="5" s="1"/>
  <c r="N45" i="5"/>
  <c r="N46" i="5"/>
  <c r="N47" i="5"/>
  <c r="N48" i="5"/>
  <c r="N49" i="5"/>
  <c r="N50" i="5"/>
  <c r="N51" i="5"/>
  <c r="N52" i="5"/>
  <c r="P52" i="5" s="1"/>
  <c r="N53" i="5"/>
  <c r="P53" i="5" s="1"/>
  <c r="N54" i="5"/>
  <c r="N55" i="5"/>
  <c r="N56" i="5"/>
  <c r="N57" i="5"/>
  <c r="N58" i="5"/>
  <c r="N59" i="5"/>
  <c r="N60" i="5"/>
  <c r="P60" i="5" s="1"/>
  <c r="N61" i="5"/>
  <c r="N62" i="5"/>
  <c r="N63" i="5"/>
  <c r="N64" i="5"/>
  <c r="N65" i="5"/>
  <c r="N66" i="5"/>
  <c r="N67" i="5"/>
  <c r="N68" i="5"/>
  <c r="N69" i="5"/>
  <c r="N70" i="5"/>
  <c r="N71" i="5"/>
  <c r="P71" i="5" s="1"/>
  <c r="N72" i="5"/>
  <c r="N73" i="5"/>
  <c r="N74" i="5"/>
  <c r="N75" i="5"/>
  <c r="N76" i="5"/>
  <c r="P76" i="5" s="1"/>
  <c r="N77" i="5"/>
  <c r="N78" i="5"/>
  <c r="P78" i="5" s="1"/>
  <c r="N79" i="5"/>
  <c r="N80" i="5"/>
  <c r="P80" i="5" s="1"/>
  <c r="P79" i="5" s="1"/>
  <c r="N15" i="5"/>
  <c r="P15" i="5" s="1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8" i="5"/>
  <c r="M39" i="5"/>
  <c r="M41" i="5"/>
  <c r="M42" i="5"/>
  <c r="M43" i="5"/>
  <c r="M44" i="5"/>
  <c r="M46" i="5"/>
  <c r="M47" i="5"/>
  <c r="M48" i="5"/>
  <c r="M49" i="5"/>
  <c r="M50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3" i="5"/>
  <c r="M74" i="5"/>
  <c r="M76" i="5"/>
  <c r="M77" i="5"/>
  <c r="M78" i="5"/>
  <c r="M80" i="5"/>
  <c r="M79" i="5" s="1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5" i="5"/>
  <c r="L76" i="5"/>
  <c r="L77" i="5"/>
  <c r="L78" i="5"/>
  <c r="L79" i="5"/>
  <c r="L80" i="5"/>
  <c r="M15" i="5"/>
  <c r="L15" i="5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8" i="4"/>
  <c r="O39" i="4"/>
  <c r="O41" i="4"/>
  <c r="O42" i="4"/>
  <c r="O43" i="4"/>
  <c r="O44" i="4"/>
  <c r="O45" i="4"/>
  <c r="O46" i="4"/>
  <c r="O47" i="4"/>
  <c r="O48" i="4"/>
  <c r="O50" i="4"/>
  <c r="O51" i="4"/>
  <c r="O52" i="4"/>
  <c r="O53" i="4"/>
  <c r="O54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8" i="4"/>
  <c r="O79" i="4"/>
  <c r="O81" i="4"/>
  <c r="O82" i="4"/>
  <c r="O83" i="4"/>
  <c r="O85" i="4"/>
  <c r="O15" i="4"/>
  <c r="N16" i="4"/>
  <c r="P16" i="4" s="1"/>
  <c r="N17" i="4"/>
  <c r="P17" i="4" s="1"/>
  <c r="N18" i="4"/>
  <c r="P18" i="4" s="1"/>
  <c r="N19" i="4"/>
  <c r="P19" i="4" s="1"/>
  <c r="N20" i="4"/>
  <c r="P20" i="4" s="1"/>
  <c r="N21" i="4"/>
  <c r="P21" i="4" s="1"/>
  <c r="N22" i="4"/>
  <c r="P22" i="4" s="1"/>
  <c r="N23" i="4"/>
  <c r="P23" i="4" s="1"/>
  <c r="N24" i="4"/>
  <c r="P24" i="4" s="1"/>
  <c r="N25" i="4"/>
  <c r="P25" i="4" s="1"/>
  <c r="N26" i="4"/>
  <c r="P26" i="4" s="1"/>
  <c r="N27" i="4"/>
  <c r="P27" i="4" s="1"/>
  <c r="N28" i="4"/>
  <c r="P28" i="4" s="1"/>
  <c r="N29" i="4"/>
  <c r="P29" i="4" s="1"/>
  <c r="N30" i="4"/>
  <c r="P30" i="4" s="1"/>
  <c r="N31" i="4"/>
  <c r="N32" i="4"/>
  <c r="P32" i="4" s="1"/>
  <c r="N33" i="4"/>
  <c r="P33" i="4" s="1"/>
  <c r="N34" i="4"/>
  <c r="P34" i="4" s="1"/>
  <c r="N35" i="4"/>
  <c r="P35" i="4" s="1"/>
  <c r="N36" i="4"/>
  <c r="P36" i="4" s="1"/>
  <c r="N38" i="4"/>
  <c r="P38" i="4" s="1"/>
  <c r="N39" i="4"/>
  <c r="P39" i="4" s="1"/>
  <c r="N41" i="4"/>
  <c r="P41" i="4" s="1"/>
  <c r="N42" i="4"/>
  <c r="P42" i="4" s="1"/>
  <c r="N43" i="4"/>
  <c r="P43" i="4" s="1"/>
  <c r="N44" i="4"/>
  <c r="P44" i="4" s="1"/>
  <c r="N45" i="4"/>
  <c r="P45" i="4" s="1"/>
  <c r="N46" i="4"/>
  <c r="P46" i="4" s="1"/>
  <c r="N47" i="4"/>
  <c r="P47" i="4" s="1"/>
  <c r="N48" i="4"/>
  <c r="P48" i="4" s="1"/>
  <c r="N50" i="4"/>
  <c r="P50" i="4" s="1"/>
  <c r="N51" i="4"/>
  <c r="P51" i="4" s="1"/>
  <c r="N52" i="4"/>
  <c r="P52" i="4" s="1"/>
  <c r="N53" i="4"/>
  <c r="P53" i="4" s="1"/>
  <c r="N54" i="4"/>
  <c r="P54" i="4" s="1"/>
  <c r="N56" i="4"/>
  <c r="P56" i="4" s="1"/>
  <c r="N57" i="4"/>
  <c r="P57" i="4" s="1"/>
  <c r="N58" i="4"/>
  <c r="P58" i="4" s="1"/>
  <c r="N59" i="4"/>
  <c r="P59" i="4" s="1"/>
  <c r="N60" i="4"/>
  <c r="P60" i="4" s="1"/>
  <c r="N61" i="4"/>
  <c r="P61" i="4" s="1"/>
  <c r="N62" i="4"/>
  <c r="P62" i="4" s="1"/>
  <c r="N63" i="4"/>
  <c r="P63" i="4" s="1"/>
  <c r="N64" i="4"/>
  <c r="P64" i="4" s="1"/>
  <c r="N65" i="4"/>
  <c r="P65" i="4" s="1"/>
  <c r="N66" i="4"/>
  <c r="P66" i="4" s="1"/>
  <c r="N67" i="4"/>
  <c r="P67" i="4" s="1"/>
  <c r="N68" i="4"/>
  <c r="P68" i="4" s="1"/>
  <c r="N69" i="4"/>
  <c r="P69" i="4" s="1"/>
  <c r="N70" i="4"/>
  <c r="P70" i="4" s="1"/>
  <c r="N71" i="4"/>
  <c r="P71" i="4" s="1"/>
  <c r="N72" i="4"/>
  <c r="P72" i="4" s="1"/>
  <c r="N73" i="4"/>
  <c r="P73" i="4" s="1"/>
  <c r="N74" i="4"/>
  <c r="N75" i="4"/>
  <c r="P75" i="4" s="1"/>
  <c r="N76" i="4"/>
  <c r="P76" i="4" s="1"/>
  <c r="N78" i="4"/>
  <c r="P78" i="4" s="1"/>
  <c r="N79" i="4"/>
  <c r="P79" i="4" s="1"/>
  <c r="N81" i="4"/>
  <c r="P81" i="4" s="1"/>
  <c r="N82" i="4"/>
  <c r="P82" i="4" s="1"/>
  <c r="N83" i="4"/>
  <c r="P83" i="4" s="1"/>
  <c r="N85" i="4"/>
  <c r="P85" i="4" s="1"/>
  <c r="P84" i="4" s="1"/>
  <c r="N15" i="4"/>
  <c r="P15" i="4" s="1"/>
  <c r="M22" i="4"/>
  <c r="M23" i="4"/>
  <c r="M30" i="4"/>
  <c r="M31" i="4"/>
  <c r="M48" i="4"/>
  <c r="M58" i="4"/>
  <c r="M59" i="4"/>
  <c r="M66" i="4"/>
  <c r="M67" i="4"/>
  <c r="M85" i="4"/>
  <c r="M84" i="4" s="1"/>
  <c r="L16" i="4"/>
  <c r="M16" i="4" s="1"/>
  <c r="L17" i="4"/>
  <c r="M17" i="4" s="1"/>
  <c r="L18" i="4"/>
  <c r="M18" i="4" s="1"/>
  <c r="L19" i="4"/>
  <c r="M19" i="4" s="1"/>
  <c r="L20" i="4"/>
  <c r="M20" i="4" s="1"/>
  <c r="L21" i="4"/>
  <c r="M21" i="4" s="1"/>
  <c r="L22" i="4"/>
  <c r="L23" i="4"/>
  <c r="L24" i="4"/>
  <c r="M24" i="4" s="1"/>
  <c r="L25" i="4"/>
  <c r="M25" i="4" s="1"/>
  <c r="L26" i="4"/>
  <c r="M26" i="4" s="1"/>
  <c r="L27" i="4"/>
  <c r="M27" i="4" s="1"/>
  <c r="L28" i="4"/>
  <c r="M28" i="4" s="1"/>
  <c r="L29" i="4"/>
  <c r="M29" i="4" s="1"/>
  <c r="L30" i="4"/>
  <c r="L31" i="4"/>
  <c r="L32" i="4"/>
  <c r="M32" i="4" s="1"/>
  <c r="L33" i="4"/>
  <c r="M33" i="4" s="1"/>
  <c r="L34" i="4"/>
  <c r="M34" i="4" s="1"/>
  <c r="L35" i="4"/>
  <c r="M35" i="4" s="1"/>
  <c r="L36" i="4"/>
  <c r="M36" i="4" s="1"/>
  <c r="L38" i="4"/>
  <c r="M38" i="4" s="1"/>
  <c r="L39" i="4"/>
  <c r="M39" i="4" s="1"/>
  <c r="L41" i="4"/>
  <c r="M41" i="4" s="1"/>
  <c r="L42" i="4"/>
  <c r="M42" i="4" s="1"/>
  <c r="L43" i="4"/>
  <c r="M43" i="4" s="1"/>
  <c r="L44" i="4"/>
  <c r="M44" i="4" s="1"/>
  <c r="L45" i="4"/>
  <c r="M45" i="4" s="1"/>
  <c r="L46" i="4"/>
  <c r="M46" i="4" s="1"/>
  <c r="L47" i="4"/>
  <c r="M47" i="4" s="1"/>
  <c r="L48" i="4"/>
  <c r="L50" i="4"/>
  <c r="M50" i="4" s="1"/>
  <c r="L51" i="4"/>
  <c r="M51" i="4" s="1"/>
  <c r="L52" i="4"/>
  <c r="M52" i="4" s="1"/>
  <c r="L53" i="4"/>
  <c r="M53" i="4" s="1"/>
  <c r="L54" i="4"/>
  <c r="M54" i="4" s="1"/>
  <c r="L56" i="4"/>
  <c r="M56" i="4" s="1"/>
  <c r="L57" i="4"/>
  <c r="M57" i="4" s="1"/>
  <c r="L58" i="4"/>
  <c r="L59" i="4"/>
  <c r="L60" i="4"/>
  <c r="M60" i="4" s="1"/>
  <c r="L61" i="4"/>
  <c r="M61" i="4" s="1"/>
  <c r="L62" i="4"/>
  <c r="M62" i="4" s="1"/>
  <c r="L63" i="4"/>
  <c r="M63" i="4" s="1"/>
  <c r="L64" i="4"/>
  <c r="M64" i="4" s="1"/>
  <c r="L65" i="4"/>
  <c r="M65" i="4" s="1"/>
  <c r="L66" i="4"/>
  <c r="L67" i="4"/>
  <c r="L68" i="4"/>
  <c r="M68" i="4" s="1"/>
  <c r="L69" i="4"/>
  <c r="M69" i="4" s="1"/>
  <c r="L70" i="4"/>
  <c r="M70" i="4" s="1"/>
  <c r="L71" i="4"/>
  <c r="M71" i="4" s="1"/>
  <c r="L72" i="4"/>
  <c r="M72" i="4" s="1"/>
  <c r="L73" i="4"/>
  <c r="M73" i="4" s="1"/>
  <c r="L74" i="4"/>
  <c r="M74" i="4" s="1"/>
  <c r="L75" i="4"/>
  <c r="M75" i="4" s="1"/>
  <c r="L76" i="4"/>
  <c r="M76" i="4" s="1"/>
  <c r="L78" i="4"/>
  <c r="M78" i="4" s="1"/>
  <c r="L79" i="4"/>
  <c r="M79" i="4" s="1"/>
  <c r="L81" i="4"/>
  <c r="M81" i="4" s="1"/>
  <c r="L82" i="4"/>
  <c r="M82" i="4" s="1"/>
  <c r="L83" i="4"/>
  <c r="M83" i="4" s="1"/>
  <c r="L85" i="4"/>
  <c r="L15" i="4"/>
  <c r="M15" i="4" s="1"/>
  <c r="N15" i="3"/>
  <c r="P15" i="3" s="1"/>
  <c r="P45" i="3"/>
  <c r="M45" i="3"/>
  <c r="P46" i="3"/>
  <c r="P47" i="3"/>
  <c r="P48" i="3"/>
  <c r="P49" i="3"/>
  <c r="P50" i="3"/>
  <c r="P52" i="3"/>
  <c r="P54" i="3"/>
  <c r="P55" i="3"/>
  <c r="P56" i="3"/>
  <c r="P57" i="3"/>
  <c r="P59" i="3"/>
  <c r="P60" i="3"/>
  <c r="P61" i="3"/>
  <c r="P62" i="3"/>
  <c r="P63" i="3"/>
  <c r="P64" i="3"/>
  <c r="P65" i="3"/>
  <c r="P66" i="3"/>
  <c r="P67" i="3"/>
  <c r="P68" i="3"/>
  <c r="P69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40" i="3"/>
  <c r="O41" i="3"/>
  <c r="O43" i="3"/>
  <c r="O44" i="3"/>
  <c r="O46" i="3"/>
  <c r="O47" i="3"/>
  <c r="O48" i="3"/>
  <c r="O49" i="3"/>
  <c r="O50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1" i="3"/>
  <c r="O72" i="3"/>
  <c r="O74" i="3"/>
  <c r="N16" i="3"/>
  <c r="P16" i="3" s="1"/>
  <c r="N17" i="3"/>
  <c r="P17" i="3" s="1"/>
  <c r="N18" i="3"/>
  <c r="P18" i="3" s="1"/>
  <c r="N19" i="3"/>
  <c r="P19" i="3" s="1"/>
  <c r="N20" i="3"/>
  <c r="P20" i="3" s="1"/>
  <c r="N21" i="3"/>
  <c r="P21" i="3" s="1"/>
  <c r="N22" i="3"/>
  <c r="P22" i="3" s="1"/>
  <c r="N23" i="3"/>
  <c r="P23" i="3" s="1"/>
  <c r="N24" i="3"/>
  <c r="P24" i="3" s="1"/>
  <c r="N25" i="3"/>
  <c r="P25" i="3" s="1"/>
  <c r="N26" i="3"/>
  <c r="P26" i="3" s="1"/>
  <c r="N27" i="3"/>
  <c r="P27" i="3" s="1"/>
  <c r="N28" i="3"/>
  <c r="P28" i="3" s="1"/>
  <c r="N29" i="3"/>
  <c r="P29" i="3" s="1"/>
  <c r="N30" i="3"/>
  <c r="P30" i="3" s="1"/>
  <c r="N31" i="3"/>
  <c r="P31" i="3" s="1"/>
  <c r="N32" i="3"/>
  <c r="P32" i="3" s="1"/>
  <c r="N33" i="3"/>
  <c r="P33" i="3" s="1"/>
  <c r="N34" i="3"/>
  <c r="P34" i="3" s="1"/>
  <c r="N35" i="3"/>
  <c r="P35" i="3" s="1"/>
  <c r="N36" i="3"/>
  <c r="P36" i="3" s="1"/>
  <c r="N37" i="3"/>
  <c r="P37" i="3" s="1"/>
  <c r="N38" i="3"/>
  <c r="P38" i="3" s="1"/>
  <c r="N40" i="3"/>
  <c r="P40" i="3" s="1"/>
  <c r="N41" i="3"/>
  <c r="P41" i="3" s="1"/>
  <c r="N43" i="3"/>
  <c r="P43" i="3" s="1"/>
  <c r="N44" i="3"/>
  <c r="P44" i="3" s="1"/>
  <c r="N46" i="3"/>
  <c r="N47" i="3"/>
  <c r="N48" i="3"/>
  <c r="N49" i="3"/>
  <c r="N50" i="3"/>
  <c r="N52" i="3"/>
  <c r="N53" i="3"/>
  <c r="P53" i="3" s="1"/>
  <c r="N54" i="3"/>
  <c r="N55" i="3"/>
  <c r="N56" i="3"/>
  <c r="N57" i="3"/>
  <c r="N58" i="3"/>
  <c r="P58" i="3" s="1"/>
  <c r="N59" i="3"/>
  <c r="N60" i="3"/>
  <c r="N61" i="3"/>
  <c r="N62" i="3"/>
  <c r="N63" i="3"/>
  <c r="N64" i="3"/>
  <c r="N65" i="3"/>
  <c r="N66" i="3"/>
  <c r="N67" i="3"/>
  <c r="N68" i="3"/>
  <c r="N69" i="3"/>
  <c r="N71" i="3"/>
  <c r="P71" i="3" s="1"/>
  <c r="N72" i="3"/>
  <c r="P72" i="3" s="1"/>
  <c r="N74" i="3"/>
  <c r="P74" i="3" s="1"/>
  <c r="P73" i="3" s="1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40" i="3"/>
  <c r="M41" i="3"/>
  <c r="M43" i="3"/>
  <c r="M44" i="3"/>
  <c r="M46" i="3"/>
  <c r="M47" i="3"/>
  <c r="M48" i="3"/>
  <c r="M49" i="3"/>
  <c r="M50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1" i="3"/>
  <c r="M72" i="3"/>
  <c r="M74" i="3"/>
  <c r="M73" i="3" s="1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40" i="3"/>
  <c r="L41" i="3"/>
  <c r="L43" i="3"/>
  <c r="L44" i="3"/>
  <c r="L46" i="3"/>
  <c r="L47" i="3"/>
  <c r="L48" i="3"/>
  <c r="L49" i="3"/>
  <c r="L50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1" i="3"/>
  <c r="L72" i="3"/>
  <c r="L74" i="3"/>
  <c r="O15" i="3"/>
  <c r="L15" i="3"/>
  <c r="M86" i="2"/>
  <c r="M83" i="2"/>
  <c r="N87" i="2"/>
  <c r="P87" i="2" s="1"/>
  <c r="M84" i="2"/>
  <c r="K82" i="2"/>
  <c r="M82" i="2" s="1"/>
  <c r="K81" i="2"/>
  <c r="M81" i="2" s="1"/>
  <c r="M68" i="2"/>
  <c r="N67" i="2"/>
  <c r="P67" i="2" s="1"/>
  <c r="M58" i="2"/>
  <c r="M57" i="2"/>
  <c r="N55" i="2"/>
  <c r="P55" i="2" s="1"/>
  <c r="P54" i="2" s="1"/>
  <c r="N19" i="2"/>
  <c r="P19" i="2" s="1"/>
  <c r="M23" i="2"/>
  <c r="M26" i="2"/>
  <c r="N27" i="2"/>
  <c r="P27" i="2" s="1"/>
  <c r="M31" i="2"/>
  <c r="M34" i="2"/>
  <c r="N35" i="2"/>
  <c r="P35" i="2" s="1"/>
  <c r="M39" i="2"/>
  <c r="M42" i="2"/>
  <c r="N43" i="2"/>
  <c r="P43" i="2" s="1"/>
  <c r="M47" i="2"/>
  <c r="M50" i="2"/>
  <c r="N51" i="2"/>
  <c r="P51" i="2" s="1"/>
  <c r="M18" i="2"/>
  <c r="P28" i="2"/>
  <c r="P60" i="2"/>
  <c r="P61" i="2"/>
  <c r="P62" i="2"/>
  <c r="P63" i="2"/>
  <c r="P64" i="2"/>
  <c r="P65" i="2"/>
  <c r="P66" i="2"/>
  <c r="P70" i="2"/>
  <c r="P71" i="2"/>
  <c r="P72" i="2"/>
  <c r="P73" i="2"/>
  <c r="P74" i="2"/>
  <c r="P75" i="2"/>
  <c r="P76" i="2"/>
  <c r="P77" i="2"/>
  <c r="P78" i="2"/>
  <c r="P79" i="2"/>
  <c r="P85" i="2"/>
  <c r="P88" i="2"/>
  <c r="P89" i="2"/>
  <c r="P90" i="2"/>
  <c r="P91" i="2"/>
  <c r="P92" i="2"/>
  <c r="P93" i="2"/>
  <c r="P94" i="2"/>
  <c r="P95" i="2"/>
  <c r="P96" i="2"/>
  <c r="P97" i="2"/>
  <c r="P98" i="2"/>
  <c r="P99" i="2"/>
  <c r="P101" i="2"/>
  <c r="P102" i="2"/>
  <c r="P103" i="2"/>
  <c r="P104" i="2"/>
  <c r="P105" i="2"/>
  <c r="P106" i="2"/>
  <c r="P107" i="2"/>
  <c r="P108" i="2"/>
  <c r="P109" i="2"/>
  <c r="P110" i="2"/>
  <c r="P111" i="2"/>
  <c r="P114" i="2"/>
  <c r="P115" i="2"/>
  <c r="P116" i="2"/>
  <c r="P117" i="2"/>
  <c r="P121" i="2"/>
  <c r="P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5" i="2"/>
  <c r="O57" i="2"/>
  <c r="O58" i="2"/>
  <c r="O60" i="2"/>
  <c r="O61" i="2"/>
  <c r="O62" i="2"/>
  <c r="O63" i="2"/>
  <c r="O64" i="2"/>
  <c r="O65" i="2"/>
  <c r="O66" i="2"/>
  <c r="O67" i="2"/>
  <c r="O68" i="2"/>
  <c r="O70" i="2"/>
  <c r="O71" i="2"/>
  <c r="O72" i="2"/>
  <c r="O73" i="2"/>
  <c r="O74" i="2"/>
  <c r="O75" i="2"/>
  <c r="O76" i="2"/>
  <c r="O77" i="2"/>
  <c r="O78" i="2"/>
  <c r="O79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7" i="2"/>
  <c r="O98" i="2"/>
  <c r="O99" i="2"/>
  <c r="O100" i="2"/>
  <c r="O101" i="2"/>
  <c r="O102" i="2"/>
  <c r="O103" i="2"/>
  <c r="O104" i="2"/>
  <c r="O105" i="2"/>
  <c r="O106" i="2"/>
  <c r="O107" i="2"/>
  <c r="O108" i="2"/>
  <c r="O109" i="2"/>
  <c r="O110" i="2"/>
  <c r="O111" i="2"/>
  <c r="O112" i="2"/>
  <c r="O114" i="2"/>
  <c r="O115" i="2"/>
  <c r="O116" i="2"/>
  <c r="O117" i="2"/>
  <c r="O119" i="2"/>
  <c r="O120" i="2"/>
  <c r="O121" i="2"/>
  <c r="O122" i="2"/>
  <c r="O124" i="2"/>
  <c r="O15" i="2"/>
  <c r="N16" i="2"/>
  <c r="P16" i="2" s="1"/>
  <c r="N17" i="2"/>
  <c r="P17" i="2" s="1"/>
  <c r="N20" i="2"/>
  <c r="P20" i="2" s="1"/>
  <c r="N21" i="2"/>
  <c r="P21" i="2" s="1"/>
  <c r="N22" i="2"/>
  <c r="P22" i="2" s="1"/>
  <c r="N24" i="2"/>
  <c r="P24" i="2" s="1"/>
  <c r="N25" i="2"/>
  <c r="P25" i="2" s="1"/>
  <c r="N26" i="2"/>
  <c r="P26" i="2" s="1"/>
  <c r="N28" i="2"/>
  <c r="N29" i="2"/>
  <c r="P29" i="2" s="1"/>
  <c r="N30" i="2"/>
  <c r="P30" i="2" s="1"/>
  <c r="N32" i="2"/>
  <c r="P32" i="2" s="1"/>
  <c r="N33" i="2"/>
  <c r="P33" i="2" s="1"/>
  <c r="N34" i="2"/>
  <c r="P34" i="2" s="1"/>
  <c r="N36" i="2"/>
  <c r="P36" i="2" s="1"/>
  <c r="N37" i="2"/>
  <c r="P37" i="2" s="1"/>
  <c r="N38" i="2"/>
  <c r="P38" i="2" s="1"/>
  <c r="N40" i="2"/>
  <c r="P40" i="2" s="1"/>
  <c r="N41" i="2"/>
  <c r="P41" i="2" s="1"/>
  <c r="N42" i="2"/>
  <c r="P42" i="2" s="1"/>
  <c r="N44" i="2"/>
  <c r="P44" i="2" s="1"/>
  <c r="N45" i="2"/>
  <c r="P45" i="2" s="1"/>
  <c r="N46" i="2"/>
  <c r="P46" i="2" s="1"/>
  <c r="N48" i="2"/>
  <c r="P48" i="2" s="1"/>
  <c r="N49" i="2"/>
  <c r="P49" i="2" s="1"/>
  <c r="N50" i="2"/>
  <c r="P50" i="2" s="1"/>
  <c r="N52" i="2"/>
  <c r="P52" i="2" s="1"/>
  <c r="N53" i="2"/>
  <c r="P53" i="2" s="1"/>
  <c r="N60" i="2"/>
  <c r="N61" i="2"/>
  <c r="N62" i="2"/>
  <c r="N63" i="2"/>
  <c r="N64" i="2"/>
  <c r="N65" i="2"/>
  <c r="N66" i="2"/>
  <c r="N70" i="2"/>
  <c r="N71" i="2"/>
  <c r="N72" i="2"/>
  <c r="N73" i="2"/>
  <c r="N74" i="2"/>
  <c r="N75" i="2"/>
  <c r="N76" i="2"/>
  <c r="N77" i="2"/>
  <c r="N78" i="2"/>
  <c r="N79" i="2"/>
  <c r="N85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P100" i="2" s="1"/>
  <c r="N101" i="2"/>
  <c r="N102" i="2"/>
  <c r="N103" i="2"/>
  <c r="N104" i="2"/>
  <c r="N105" i="2"/>
  <c r="N106" i="2"/>
  <c r="N107" i="2"/>
  <c r="N108" i="2"/>
  <c r="N109" i="2"/>
  <c r="N110" i="2"/>
  <c r="N111" i="2"/>
  <c r="N112" i="2"/>
  <c r="P112" i="2" s="1"/>
  <c r="N114" i="2"/>
  <c r="N115" i="2"/>
  <c r="N116" i="2"/>
  <c r="N117" i="2"/>
  <c r="N119" i="2"/>
  <c r="P119" i="2" s="1"/>
  <c r="N120" i="2"/>
  <c r="P120" i="2" s="1"/>
  <c r="N121" i="2"/>
  <c r="N122" i="2"/>
  <c r="P122" i="2" s="1"/>
  <c r="N124" i="2"/>
  <c r="P124" i="2" s="1"/>
  <c r="P123" i="2" s="1"/>
  <c r="N15" i="2"/>
  <c r="M16" i="2"/>
  <c r="M17" i="2"/>
  <c r="M20" i="2"/>
  <c r="M21" i="2"/>
  <c r="M22" i="2"/>
  <c r="M24" i="2"/>
  <c r="M25" i="2"/>
  <c r="M28" i="2"/>
  <c r="M29" i="2"/>
  <c r="M30" i="2"/>
  <c r="M32" i="2"/>
  <c r="M33" i="2"/>
  <c r="M36" i="2"/>
  <c r="M37" i="2"/>
  <c r="M38" i="2"/>
  <c r="M40" i="2"/>
  <c r="M41" i="2"/>
  <c r="M44" i="2"/>
  <c r="M45" i="2"/>
  <c r="M46" i="2"/>
  <c r="M48" i="2"/>
  <c r="M49" i="2"/>
  <c r="M52" i="2"/>
  <c r="M53" i="2"/>
  <c r="M60" i="2"/>
  <c r="M61" i="2"/>
  <c r="M62" i="2"/>
  <c r="M63" i="2"/>
  <c r="M64" i="2"/>
  <c r="M65" i="2"/>
  <c r="M66" i="2"/>
  <c r="M67" i="2"/>
  <c r="M59" i="2" s="1"/>
  <c r="M70" i="2"/>
  <c r="M71" i="2"/>
  <c r="M72" i="2"/>
  <c r="M73" i="2"/>
  <c r="M74" i="2"/>
  <c r="M75" i="2"/>
  <c r="M76" i="2"/>
  <c r="M77" i="2"/>
  <c r="M78" i="2"/>
  <c r="M79" i="2"/>
  <c r="M85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4" i="2"/>
  <c r="M115" i="2"/>
  <c r="M116" i="2"/>
  <c r="M117" i="2"/>
  <c r="M119" i="2"/>
  <c r="M120" i="2"/>
  <c r="M121" i="2"/>
  <c r="M122" i="2"/>
  <c r="M124" i="2"/>
  <c r="M123" i="2" s="1"/>
  <c r="M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5" i="2"/>
  <c r="L57" i="2"/>
  <c r="L58" i="2"/>
  <c r="L60" i="2"/>
  <c r="L61" i="2"/>
  <c r="L62" i="2"/>
  <c r="L63" i="2"/>
  <c r="L64" i="2"/>
  <c r="L65" i="2"/>
  <c r="L66" i="2"/>
  <c r="L67" i="2"/>
  <c r="L68" i="2"/>
  <c r="L70" i="2"/>
  <c r="L71" i="2"/>
  <c r="L72" i="2"/>
  <c r="L73" i="2"/>
  <c r="L74" i="2"/>
  <c r="L75" i="2"/>
  <c r="L76" i="2"/>
  <c r="L77" i="2"/>
  <c r="L78" i="2"/>
  <c r="L79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4" i="2"/>
  <c r="L115" i="2"/>
  <c r="L116" i="2"/>
  <c r="L117" i="2"/>
  <c r="L119" i="2"/>
  <c r="L120" i="2"/>
  <c r="L121" i="2"/>
  <c r="L122" i="2"/>
  <c r="L124" i="2"/>
  <c r="L15" i="2"/>
  <c r="M64" i="9" l="1"/>
  <c r="M102" i="9" s="1"/>
  <c r="F24" i="1" s="1"/>
  <c r="J24" i="1" s="1"/>
  <c r="P116" i="12"/>
  <c r="P63" i="12"/>
  <c r="P37" i="32"/>
  <c r="P43" i="32"/>
  <c r="M43" i="32"/>
  <c r="P14" i="32"/>
  <c r="M37" i="32"/>
  <c r="M14" i="32"/>
  <c r="M77" i="4"/>
  <c r="P49" i="4"/>
  <c r="P74" i="4"/>
  <c r="M49" i="4"/>
  <c r="P31" i="4"/>
  <c r="P77" i="4"/>
  <c r="M14" i="33"/>
  <c r="M83" i="33" s="1"/>
  <c r="F49" i="1" s="1"/>
  <c r="P83" i="33"/>
  <c r="H49" i="1" s="1"/>
  <c r="F27" i="1"/>
  <c r="J27" i="1" s="1"/>
  <c r="P104" i="16"/>
  <c r="H31" i="1" s="1"/>
  <c r="M104" i="16"/>
  <c r="F31" i="1" s="1"/>
  <c r="J31" i="1" s="1"/>
  <c r="P77" i="35"/>
  <c r="H52" i="1" s="1"/>
  <c r="M77" i="35"/>
  <c r="F52" i="1" s="1"/>
  <c r="J52" i="1" s="1"/>
  <c r="M82" i="31"/>
  <c r="P82" i="31"/>
  <c r="P89" i="30"/>
  <c r="M89" i="30"/>
  <c r="M85" i="29"/>
  <c r="P85" i="29"/>
  <c r="M88" i="28"/>
  <c r="P88" i="28"/>
  <c r="P83" i="27"/>
  <c r="P81" i="26"/>
  <c r="P92" i="25"/>
  <c r="M92" i="25"/>
  <c r="M14" i="24"/>
  <c r="P99" i="23"/>
  <c r="M99" i="23"/>
  <c r="M84" i="22"/>
  <c r="P84" i="22"/>
  <c r="P86" i="21"/>
  <c r="M14" i="21"/>
  <c r="M86" i="21" s="1"/>
  <c r="P86" i="20"/>
  <c r="M86" i="20"/>
  <c r="M14" i="19"/>
  <c r="P86" i="19"/>
  <c r="M86" i="19"/>
  <c r="M85" i="18"/>
  <c r="P85" i="18"/>
  <c r="M14" i="17"/>
  <c r="M77" i="17"/>
  <c r="P77" i="17"/>
  <c r="P14" i="9"/>
  <c r="P102" i="9" s="1"/>
  <c r="H24" i="1" s="1"/>
  <c r="P14" i="12"/>
  <c r="P123" i="12" s="1"/>
  <c r="H27" i="1" s="1"/>
  <c r="M56" i="13"/>
  <c r="M87" i="13" s="1"/>
  <c r="M14" i="13"/>
  <c r="P14" i="14"/>
  <c r="P82" i="14" s="1"/>
  <c r="M14" i="14"/>
  <c r="P84" i="15"/>
  <c r="H30" i="1" s="1"/>
  <c r="M84" i="15"/>
  <c r="F30" i="1" s="1"/>
  <c r="M82" i="14"/>
  <c r="P87" i="13"/>
  <c r="M14" i="10"/>
  <c r="M84" i="10" s="1"/>
  <c r="P14" i="6"/>
  <c r="M56" i="2"/>
  <c r="M79" i="11"/>
  <c r="F26" i="1" s="1"/>
  <c r="P79" i="11"/>
  <c r="H26" i="1" s="1"/>
  <c r="P84" i="10"/>
  <c r="P75" i="5"/>
  <c r="M40" i="5"/>
  <c r="M37" i="4"/>
  <c r="M37" i="5"/>
  <c r="M40" i="4"/>
  <c r="P37" i="4"/>
  <c r="P40" i="4"/>
  <c r="M42" i="3"/>
  <c r="M118" i="2"/>
  <c r="P118" i="2"/>
  <c r="M84" i="8"/>
  <c r="P84" i="8"/>
  <c r="M86" i="7"/>
  <c r="P86" i="7"/>
  <c r="M79" i="6"/>
  <c r="P79" i="6"/>
  <c r="M72" i="5"/>
  <c r="M75" i="5"/>
  <c r="P51" i="5"/>
  <c r="M51" i="5"/>
  <c r="P40" i="5"/>
  <c r="P37" i="5"/>
  <c r="M14" i="5"/>
  <c r="P14" i="5"/>
  <c r="M80" i="4"/>
  <c r="P80" i="4"/>
  <c r="M55" i="4"/>
  <c r="P55" i="4"/>
  <c r="M14" i="4"/>
  <c r="P14" i="4"/>
  <c r="M70" i="3"/>
  <c r="P70" i="3"/>
  <c r="M51" i="3"/>
  <c r="P51" i="3"/>
  <c r="P42" i="3"/>
  <c r="M39" i="3"/>
  <c r="P39" i="3"/>
  <c r="P14" i="3"/>
  <c r="M15" i="3"/>
  <c r="M14" i="3" s="1"/>
  <c r="N86" i="2"/>
  <c r="P86" i="2" s="1"/>
  <c r="M87" i="2"/>
  <c r="M80" i="2" s="1"/>
  <c r="N84" i="2"/>
  <c r="P84" i="2" s="1"/>
  <c r="N83" i="2"/>
  <c r="P83" i="2" s="1"/>
  <c r="N82" i="2"/>
  <c r="P82" i="2" s="1"/>
  <c r="N81" i="2"/>
  <c r="P81" i="2" s="1"/>
  <c r="N68" i="2"/>
  <c r="P68" i="2" s="1"/>
  <c r="P59" i="2" s="1"/>
  <c r="N58" i="2"/>
  <c r="P58" i="2" s="1"/>
  <c r="N57" i="2"/>
  <c r="P57" i="2" s="1"/>
  <c r="M55" i="2"/>
  <c r="M54" i="2" s="1"/>
  <c r="M51" i="2"/>
  <c r="M43" i="2"/>
  <c r="M35" i="2"/>
  <c r="M27" i="2"/>
  <c r="M19" i="2"/>
  <c r="N47" i="2"/>
  <c r="P47" i="2" s="1"/>
  <c r="N39" i="2"/>
  <c r="P39" i="2" s="1"/>
  <c r="N31" i="2"/>
  <c r="P31" i="2" s="1"/>
  <c r="N23" i="2"/>
  <c r="P23" i="2" s="1"/>
  <c r="N18" i="2"/>
  <c r="P18" i="2" s="1"/>
  <c r="K15" i="39"/>
  <c r="K16" i="39"/>
  <c r="K17" i="39"/>
  <c r="K18" i="39"/>
  <c r="K19" i="39"/>
  <c r="K20" i="39"/>
  <c r="K21" i="39"/>
  <c r="K22" i="39"/>
  <c r="K23" i="39"/>
  <c r="K24" i="39"/>
  <c r="K25" i="39"/>
  <c r="K26" i="39"/>
  <c r="K27" i="39"/>
  <c r="K28" i="39"/>
  <c r="K29" i="39"/>
  <c r="K30" i="39"/>
  <c r="K31" i="39"/>
  <c r="BK16" i="39"/>
  <c r="BK17" i="39"/>
  <c r="BK18" i="39"/>
  <c r="BK19" i="39"/>
  <c r="BK20" i="39"/>
  <c r="BK21" i="39"/>
  <c r="BK22" i="39"/>
  <c r="BK23" i="39"/>
  <c r="BK24" i="39"/>
  <c r="BK25" i="39"/>
  <c r="BK26" i="39"/>
  <c r="BK27" i="39"/>
  <c r="BK28" i="39"/>
  <c r="BK29" i="39"/>
  <c r="BK30" i="39"/>
  <c r="BK31" i="39"/>
  <c r="BK15" i="39"/>
  <c r="BJ31" i="39"/>
  <c r="BJ30" i="39"/>
  <c r="BJ29" i="39"/>
  <c r="BJ28" i="39"/>
  <c r="BJ27" i="39"/>
  <c r="BJ26" i="39"/>
  <c r="BJ25" i="39"/>
  <c r="BJ24" i="39"/>
  <c r="BJ23" i="39"/>
  <c r="BJ22" i="39"/>
  <c r="BJ21" i="39"/>
  <c r="BJ20" i="39"/>
  <c r="BJ19" i="39"/>
  <c r="BJ18" i="39"/>
  <c r="BJ17" i="39"/>
  <c r="BJ16" i="39"/>
  <c r="BJ15" i="39"/>
  <c r="BJ14" i="39"/>
  <c r="BJ13" i="39"/>
  <c r="BJ12" i="39"/>
  <c r="E20" i="1"/>
  <c r="G20" i="1" s="1"/>
  <c r="E21" i="1"/>
  <c r="G21" i="1" s="1"/>
  <c r="E22" i="1"/>
  <c r="G22" i="1" s="1"/>
  <c r="E23" i="1"/>
  <c r="G23" i="1" s="1"/>
  <c r="E25" i="1"/>
  <c r="G25" i="1" s="1"/>
  <c r="E28" i="1"/>
  <c r="G28" i="1" s="1"/>
  <c r="E29" i="1"/>
  <c r="G29" i="1" s="1"/>
  <c r="E33" i="1"/>
  <c r="G33" i="1" s="1"/>
  <c r="E34" i="1"/>
  <c r="G34" i="1" s="1"/>
  <c r="E37" i="1"/>
  <c r="G37" i="1" s="1"/>
  <c r="E39" i="1"/>
  <c r="G39" i="1" s="1"/>
  <c r="E40" i="1"/>
  <c r="G40" i="1" s="1"/>
  <c r="E41" i="1"/>
  <c r="G41" i="1" s="1"/>
  <c r="E42" i="1"/>
  <c r="G42" i="1" s="1"/>
  <c r="E43" i="1"/>
  <c r="G43" i="1" s="1"/>
  <c r="E44" i="1"/>
  <c r="G44" i="1" s="1"/>
  <c r="E46" i="1"/>
  <c r="G46" i="1" s="1"/>
  <c r="E51" i="1"/>
  <c r="G51" i="1" s="1"/>
  <c r="E55" i="1"/>
  <c r="G55" i="1" s="1"/>
  <c r="E18" i="1"/>
  <c r="G18" i="1" s="1"/>
  <c r="E32" i="1"/>
  <c r="G32" i="1" s="1"/>
  <c r="E35" i="1"/>
  <c r="G35" i="1" s="1"/>
  <c r="E36" i="1"/>
  <c r="G36" i="1" s="1"/>
  <c r="E45" i="1"/>
  <c r="G45" i="1" s="1"/>
  <c r="E26" i="1" l="1"/>
  <c r="G26" i="1" s="1"/>
  <c r="J26" i="1"/>
  <c r="E30" i="1"/>
  <c r="G30" i="1" s="1"/>
  <c r="J30" i="1"/>
  <c r="P80" i="2"/>
  <c r="P70" i="32"/>
  <c r="H47" i="1" s="1"/>
  <c r="M70" i="32"/>
  <c r="F47" i="1" s="1"/>
  <c r="J47" i="1" s="1"/>
  <c r="J49" i="1"/>
  <c r="E49" i="1"/>
  <c r="G49" i="1" s="1"/>
  <c r="E24" i="1"/>
  <c r="G24" i="1" s="1"/>
  <c r="P14" i="2"/>
  <c r="M14" i="2"/>
  <c r="M126" i="2" s="1"/>
  <c r="F17" i="1" s="1"/>
  <c r="F57" i="1" s="1"/>
  <c r="M87" i="4"/>
  <c r="F19" i="1" s="1"/>
  <c r="M76" i="3"/>
  <c r="P76" i="3"/>
  <c r="P56" i="2"/>
  <c r="M82" i="5"/>
  <c r="P82" i="5"/>
  <c r="P87" i="4"/>
  <c r="H19" i="1" s="1"/>
  <c r="BJ33" i="39"/>
  <c r="J17" i="1" l="1"/>
  <c r="E17" i="1"/>
  <c r="G17" i="1" s="1"/>
  <c r="E47" i="1"/>
  <c r="G47" i="1" s="1"/>
  <c r="J19" i="1"/>
  <c r="E19" i="1"/>
  <c r="G19" i="1" s="1"/>
  <c r="J57" i="1"/>
  <c r="P126" i="2"/>
  <c r="H17" i="1" s="1"/>
  <c r="E56" i="1"/>
  <c r="G56" i="1" s="1"/>
  <c r="E38" i="1"/>
  <c r="G38" i="1" s="1"/>
  <c r="H55" i="1" l="1"/>
  <c r="N14" i="2"/>
  <c r="N13" i="2"/>
  <c r="N12" i="2"/>
  <c r="BH31" i="39" l="1"/>
  <c r="BH30" i="39"/>
  <c r="BH29" i="39"/>
  <c r="BH28" i="39"/>
  <c r="BH27" i="39"/>
  <c r="BH26" i="39"/>
  <c r="BH25" i="39"/>
  <c r="BH24" i="39"/>
  <c r="BH23" i="39"/>
  <c r="BH22" i="39"/>
  <c r="BH21" i="39"/>
  <c r="BH20" i="39"/>
  <c r="BH19" i="39"/>
  <c r="BH18" i="39"/>
  <c r="BH17" i="39"/>
  <c r="BH16" i="39"/>
  <c r="BH15" i="39"/>
  <c r="BH14" i="39"/>
  <c r="BH13" i="39"/>
  <c r="BH12" i="39"/>
  <c r="BL8" i="39"/>
  <c r="BK12" i="39"/>
  <c r="BL12" i="39"/>
  <c r="BK13" i="39"/>
  <c r="BL13" i="39"/>
  <c r="BK14" i="39"/>
  <c r="BL14" i="39"/>
  <c r="BH33" i="39" l="1"/>
  <c r="H56" i="1" s="1"/>
  <c r="G84" i="14" l="1"/>
  <c r="R87" i="28" l="1"/>
  <c r="V16" i="24"/>
  <c r="V17" i="24"/>
  <c r="V18" i="24"/>
  <c r="V19" i="24"/>
  <c r="V20" i="24"/>
  <c r="V21" i="24"/>
  <c r="V22" i="24"/>
  <c r="V23" i="24"/>
  <c r="V24" i="24"/>
  <c r="V25" i="24"/>
  <c r="V26" i="24"/>
  <c r="V27" i="24"/>
  <c r="V28" i="24"/>
  <c r="V29" i="24"/>
  <c r="V30" i="24"/>
  <c r="V31" i="24"/>
  <c r="V32" i="24"/>
  <c r="V33" i="24"/>
  <c r="V34" i="24"/>
  <c r="V35" i="24"/>
  <c r="V36" i="24"/>
  <c r="V37" i="24"/>
  <c r="V38" i="24"/>
  <c r="V39" i="24"/>
  <c r="V40" i="24"/>
  <c r="V41" i="24"/>
  <c r="V42" i="24"/>
  <c r="V43" i="24"/>
  <c r="V44" i="24"/>
  <c r="V45" i="24"/>
  <c r="V46" i="24"/>
  <c r="V47" i="24"/>
  <c r="V48" i="24"/>
  <c r="V49" i="24"/>
  <c r="V50" i="24"/>
  <c r="V51" i="24"/>
  <c r="V52" i="24"/>
  <c r="V53" i="24"/>
  <c r="V54" i="24"/>
  <c r="V55" i="24"/>
  <c r="V56" i="24"/>
  <c r="V57" i="24"/>
  <c r="V58" i="24"/>
  <c r="V59" i="24"/>
  <c r="V60" i="24"/>
  <c r="V61" i="24"/>
  <c r="V62" i="24"/>
  <c r="V63" i="24"/>
  <c r="V64" i="24"/>
  <c r="V65" i="24"/>
  <c r="V66" i="24"/>
  <c r="V67" i="24"/>
  <c r="V68" i="24"/>
  <c r="V69" i="24"/>
  <c r="V70" i="24"/>
  <c r="V71" i="24"/>
  <c r="V72" i="24"/>
  <c r="V73" i="24"/>
  <c r="V74" i="24"/>
  <c r="V75" i="24"/>
  <c r="V76" i="24"/>
  <c r="V77" i="24"/>
  <c r="V78" i="24"/>
  <c r="V79" i="24"/>
  <c r="V15" i="24"/>
  <c r="AO47" i="2"/>
  <c r="AO48" i="2"/>
  <c r="AO49" i="2"/>
  <c r="AO50" i="2"/>
  <c r="AO51" i="2"/>
  <c r="AO52" i="2"/>
  <c r="AO53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34" i="2"/>
  <c r="Q16" i="25" l="1"/>
  <c r="Q17" i="25"/>
  <c r="Q18" i="25"/>
  <c r="Q19" i="25"/>
  <c r="Q20" i="25"/>
  <c r="Q21" i="25"/>
  <c r="Q22" i="25"/>
  <c r="Q23" i="25"/>
  <c r="Q24" i="25"/>
  <c r="Q25" i="25"/>
  <c r="Q26" i="25"/>
  <c r="Q27" i="25"/>
  <c r="Q28" i="25"/>
  <c r="Q29" i="25"/>
  <c r="Q30" i="25"/>
  <c r="Q31" i="25"/>
  <c r="Q32" i="25"/>
  <c r="Q33" i="25"/>
  <c r="Q34" i="25"/>
  <c r="Q35" i="25"/>
  <c r="Q36" i="25"/>
  <c r="Q37" i="25"/>
  <c r="Q38" i="25"/>
  <c r="Q39" i="25"/>
  <c r="Q15" i="25"/>
  <c r="V22" i="23"/>
  <c r="V23" i="23"/>
  <c r="V24" i="23"/>
  <c r="V25" i="23"/>
  <c r="V26" i="23"/>
  <c r="V27" i="23"/>
  <c r="V28" i="23"/>
  <c r="V29" i="23"/>
  <c r="V30" i="23"/>
  <c r="V31" i="23"/>
  <c r="V32" i="23"/>
  <c r="V33" i="23"/>
  <c r="V34" i="23"/>
  <c r="V35" i="23"/>
  <c r="V36" i="23"/>
  <c r="V37" i="23"/>
  <c r="V38" i="23"/>
  <c r="V39" i="23"/>
  <c r="V21" i="23"/>
  <c r="R16" i="17"/>
  <c r="S16" i="17" s="1"/>
  <c r="R17" i="17"/>
  <c r="S17" i="17" s="1"/>
  <c r="R18" i="17"/>
  <c r="S18" i="17" s="1"/>
  <c r="R19" i="17"/>
  <c r="S19" i="17" s="1"/>
  <c r="R20" i="17"/>
  <c r="S20" i="17" s="1"/>
  <c r="R21" i="17"/>
  <c r="S21" i="17" s="1"/>
  <c r="R22" i="17"/>
  <c r="S22" i="17" s="1"/>
  <c r="R23" i="17"/>
  <c r="S23" i="17" s="1"/>
  <c r="R24" i="17"/>
  <c r="S24" i="17" s="1"/>
  <c r="R25" i="17"/>
  <c r="S25" i="17" s="1"/>
  <c r="R26" i="17"/>
  <c r="S26" i="17" s="1"/>
  <c r="R27" i="17"/>
  <c r="S27" i="17" s="1"/>
  <c r="R28" i="17"/>
  <c r="S28" i="17" s="1"/>
  <c r="R29" i="17"/>
  <c r="S29" i="17" s="1"/>
  <c r="R30" i="17"/>
  <c r="S30" i="17" s="1"/>
  <c r="R31" i="17"/>
  <c r="S31" i="17"/>
  <c r="R32" i="17"/>
  <c r="S32" i="17" s="1"/>
  <c r="R33" i="17"/>
  <c r="S33" i="17" s="1"/>
  <c r="R34" i="17"/>
  <c r="S34" i="17" s="1"/>
  <c r="R35" i="17"/>
  <c r="S35" i="17" s="1"/>
  <c r="R36" i="17"/>
  <c r="S36" i="17" s="1"/>
  <c r="R37" i="17"/>
  <c r="S37" i="17" s="1"/>
  <c r="R38" i="17"/>
  <c r="S38" i="17" s="1"/>
  <c r="R39" i="17"/>
  <c r="S39" i="17" s="1"/>
  <c r="R40" i="17"/>
  <c r="S40" i="17" s="1"/>
  <c r="R41" i="17"/>
  <c r="S41" i="17" s="1"/>
  <c r="R42" i="17"/>
  <c r="S42" i="17" s="1"/>
  <c r="R43" i="17"/>
  <c r="S43" i="17" s="1"/>
  <c r="R44" i="17"/>
  <c r="S44" i="17" s="1"/>
  <c r="R45" i="17"/>
  <c r="S45" i="17" s="1"/>
  <c r="R46" i="17"/>
  <c r="S46" i="17" s="1"/>
  <c r="R47" i="17"/>
  <c r="S47" i="17" s="1"/>
  <c r="R48" i="17"/>
  <c r="S48" i="17" s="1"/>
  <c r="R49" i="17"/>
  <c r="S49" i="17" s="1"/>
  <c r="R50" i="17"/>
  <c r="S50" i="17" s="1"/>
  <c r="R51" i="17"/>
  <c r="S51" i="17" s="1"/>
  <c r="R52" i="17"/>
  <c r="S52" i="17" s="1"/>
  <c r="R53" i="17"/>
  <c r="S53" i="17" s="1"/>
  <c r="R54" i="17"/>
  <c r="S54" i="17" s="1"/>
  <c r="R55" i="17"/>
  <c r="S55" i="17" s="1"/>
  <c r="R56" i="17"/>
  <c r="S56" i="17" s="1"/>
  <c r="R57" i="17"/>
  <c r="S57" i="17" s="1"/>
  <c r="R58" i="17"/>
  <c r="S58" i="17" s="1"/>
  <c r="R59" i="17"/>
  <c r="S59" i="17" s="1"/>
  <c r="R60" i="17"/>
  <c r="S60" i="17" s="1"/>
  <c r="R61" i="17"/>
  <c r="S61" i="17" s="1"/>
  <c r="R62" i="17"/>
  <c r="S62" i="17" s="1"/>
  <c r="R63" i="17"/>
  <c r="S63" i="17" s="1"/>
  <c r="R64" i="17"/>
  <c r="S64" i="17" s="1"/>
  <c r="R65" i="17"/>
  <c r="S65" i="17" s="1"/>
  <c r="R66" i="17"/>
  <c r="S66" i="17" s="1"/>
  <c r="R67" i="17"/>
  <c r="S67" i="17" s="1"/>
  <c r="R68" i="17"/>
  <c r="S68" i="17" s="1"/>
  <c r="R69" i="17"/>
  <c r="S69" i="17" s="1"/>
  <c r="R70" i="17"/>
  <c r="S70" i="17" s="1"/>
  <c r="R71" i="17"/>
  <c r="S71" i="17" s="1"/>
  <c r="R72" i="17"/>
  <c r="S72" i="17" s="1"/>
  <c r="R73" i="17"/>
  <c r="S73" i="17" s="1"/>
  <c r="R74" i="17"/>
  <c r="S74" i="17" s="1"/>
  <c r="R75" i="17"/>
  <c r="S75" i="17" s="1"/>
  <c r="R15" i="17"/>
  <c r="S15" i="17" s="1"/>
  <c r="R16" i="13"/>
  <c r="S16" i="13" s="1"/>
  <c r="R17" i="13"/>
  <c r="S17" i="13" s="1"/>
  <c r="R18" i="13"/>
  <c r="S18" i="13" s="1"/>
  <c r="R19" i="13"/>
  <c r="S19" i="13" s="1"/>
  <c r="R20" i="13"/>
  <c r="S20" i="13" s="1"/>
  <c r="R21" i="13"/>
  <c r="S21" i="13" s="1"/>
  <c r="R22" i="13"/>
  <c r="S22" i="13" s="1"/>
  <c r="R23" i="13"/>
  <c r="S23" i="13" s="1"/>
  <c r="R24" i="13"/>
  <c r="S24" i="13" s="1"/>
  <c r="R25" i="13"/>
  <c r="S25" i="13" s="1"/>
  <c r="R26" i="13"/>
  <c r="S26" i="13" s="1"/>
  <c r="R27" i="13"/>
  <c r="S27" i="13" s="1"/>
  <c r="R28" i="13"/>
  <c r="S28" i="13" s="1"/>
  <c r="R29" i="13"/>
  <c r="S29" i="13" s="1"/>
  <c r="R30" i="13"/>
  <c r="S30" i="13" s="1"/>
  <c r="R31" i="13"/>
  <c r="S31" i="13" s="1"/>
  <c r="R32" i="13"/>
  <c r="S32" i="13" s="1"/>
  <c r="R33" i="13"/>
  <c r="S33" i="13" s="1"/>
  <c r="R34" i="13"/>
  <c r="S34" i="13" s="1"/>
  <c r="R35" i="13"/>
  <c r="S35" i="13" s="1"/>
  <c r="R36" i="13"/>
  <c r="S36" i="13" s="1"/>
  <c r="R37" i="13"/>
  <c r="S37" i="13" s="1"/>
  <c r="R38" i="13"/>
  <c r="S38" i="13" s="1"/>
  <c r="R39" i="13"/>
  <c r="S39" i="13" s="1"/>
  <c r="R40" i="13"/>
  <c r="S40" i="13" s="1"/>
  <c r="R41" i="13"/>
  <c r="S41" i="13" s="1"/>
  <c r="R42" i="13"/>
  <c r="S42" i="13" s="1"/>
  <c r="R43" i="13"/>
  <c r="S43" i="13" s="1"/>
  <c r="R44" i="13"/>
  <c r="S44" i="13" s="1"/>
  <c r="R45" i="13"/>
  <c r="S45" i="13" s="1"/>
  <c r="R46" i="13"/>
  <c r="S46" i="13" s="1"/>
  <c r="R47" i="13"/>
  <c r="S47" i="13" s="1"/>
  <c r="R48" i="13"/>
  <c r="S48" i="13" s="1"/>
  <c r="R49" i="13"/>
  <c r="S49" i="13" s="1"/>
  <c r="R50" i="13"/>
  <c r="S50" i="13" s="1"/>
  <c r="R51" i="13"/>
  <c r="S51" i="13" s="1"/>
  <c r="R52" i="13"/>
  <c r="S52" i="13" s="1"/>
  <c r="R53" i="13"/>
  <c r="S53" i="13" s="1"/>
  <c r="R54" i="13"/>
  <c r="S54" i="13" s="1"/>
  <c r="R55" i="13"/>
  <c r="S55" i="13" s="1"/>
  <c r="R56" i="13"/>
  <c r="S56" i="13" s="1"/>
  <c r="R57" i="13"/>
  <c r="S57" i="13" s="1"/>
  <c r="R58" i="13"/>
  <c r="S58" i="13" s="1"/>
  <c r="R59" i="13"/>
  <c r="S59" i="13" s="1"/>
  <c r="R60" i="13"/>
  <c r="S60" i="13" s="1"/>
  <c r="R61" i="13"/>
  <c r="S61" i="13" s="1"/>
  <c r="R62" i="13"/>
  <c r="S62" i="13" s="1"/>
  <c r="R63" i="13"/>
  <c r="S63" i="13" s="1"/>
  <c r="R64" i="13"/>
  <c r="S64" i="13" s="1"/>
  <c r="R65" i="13"/>
  <c r="S65" i="13" s="1"/>
  <c r="R66" i="13"/>
  <c r="S66" i="13" s="1"/>
  <c r="R67" i="13"/>
  <c r="S67" i="13" s="1"/>
  <c r="R68" i="13"/>
  <c r="S68" i="13" s="1"/>
  <c r="R69" i="13"/>
  <c r="S69" i="13" s="1"/>
  <c r="R70" i="13"/>
  <c r="S70" i="13" s="1"/>
  <c r="R71" i="13"/>
  <c r="S71" i="13" s="1"/>
  <c r="R72" i="13"/>
  <c r="S72" i="13" s="1"/>
  <c r="R73" i="13"/>
  <c r="S73" i="13" s="1"/>
  <c r="R74" i="13"/>
  <c r="S74" i="13" s="1"/>
  <c r="R75" i="13"/>
  <c r="S75" i="13" s="1"/>
  <c r="R76" i="13"/>
  <c r="S76" i="13" s="1"/>
  <c r="R77" i="13"/>
  <c r="S77" i="13" s="1"/>
  <c r="R78" i="13"/>
  <c r="S78" i="13" s="1"/>
  <c r="R79" i="13"/>
  <c r="S79" i="13" s="1"/>
  <c r="R80" i="13"/>
  <c r="S80" i="13" s="1"/>
  <c r="R81" i="13"/>
  <c r="S81" i="13" s="1"/>
  <c r="R82" i="13"/>
  <c r="S82" i="13" s="1"/>
  <c r="R83" i="13"/>
  <c r="S83" i="13" s="1"/>
  <c r="R84" i="13"/>
  <c r="S84" i="13" s="1"/>
  <c r="R85" i="13"/>
  <c r="S85" i="13" s="1"/>
  <c r="R15" i="13"/>
  <c r="S15" i="13" s="1"/>
  <c r="U16" i="23" l="1"/>
  <c r="U17" i="23"/>
  <c r="U18" i="23"/>
  <c r="U19" i="23"/>
  <c r="U20" i="23"/>
  <c r="U21" i="23"/>
  <c r="U22" i="23"/>
  <c r="U23" i="23"/>
  <c r="U24" i="23"/>
  <c r="U25" i="23"/>
  <c r="U26" i="23"/>
  <c r="U27" i="23"/>
  <c r="U28" i="23"/>
  <c r="U29" i="23"/>
  <c r="U30" i="23"/>
  <c r="U31" i="23"/>
  <c r="U32" i="23"/>
  <c r="U33" i="23"/>
  <c r="U34" i="23"/>
  <c r="U35" i="23"/>
  <c r="U36" i="23"/>
  <c r="U37" i="23"/>
  <c r="U38" i="23"/>
  <c r="U39" i="23"/>
  <c r="U15" i="23"/>
  <c r="AA16" i="12"/>
  <c r="AA17" i="12"/>
  <c r="AA18" i="12"/>
  <c r="AA19" i="12"/>
  <c r="AA20" i="12"/>
  <c r="AA21" i="12"/>
  <c r="AA22" i="12"/>
  <c r="AA23" i="12"/>
  <c r="AA24" i="12"/>
  <c r="AA25" i="12"/>
  <c r="AA26" i="12"/>
  <c r="AA27" i="12"/>
  <c r="AA28" i="12"/>
  <c r="AA29" i="12"/>
  <c r="AA30" i="12"/>
  <c r="AA31" i="12"/>
  <c r="AA32" i="12"/>
  <c r="AA33" i="12"/>
  <c r="AA34" i="12"/>
  <c r="AA35" i="12"/>
  <c r="AA36" i="12"/>
  <c r="AA37" i="12"/>
  <c r="AA38" i="12"/>
  <c r="AA39" i="12"/>
  <c r="AA40" i="12"/>
  <c r="AA41" i="12"/>
  <c r="AA42" i="12"/>
  <c r="AA43" i="12"/>
  <c r="AA44" i="12"/>
  <c r="AA45" i="12"/>
  <c r="AA46" i="12"/>
  <c r="AA47" i="12"/>
  <c r="AA48" i="12"/>
  <c r="AA49" i="12"/>
  <c r="AA50" i="12"/>
  <c r="AA51" i="12"/>
  <c r="AA52" i="12"/>
  <c r="AA53" i="12"/>
  <c r="AA54" i="12"/>
  <c r="AA55" i="12"/>
  <c r="AA56" i="12"/>
  <c r="AA57" i="12"/>
  <c r="AA58" i="12"/>
  <c r="AA59" i="12"/>
  <c r="AA60" i="12"/>
  <c r="AA61" i="12"/>
  <c r="AA62" i="12"/>
  <c r="AA63" i="12"/>
  <c r="AA64" i="12"/>
  <c r="AA65" i="12"/>
  <c r="AA66" i="12"/>
  <c r="AA67" i="12"/>
  <c r="AA68" i="12"/>
  <c r="AA69" i="12"/>
  <c r="AA70" i="12"/>
  <c r="AA71" i="12"/>
  <c r="AA72" i="12"/>
  <c r="AA73" i="12"/>
  <c r="AA74" i="12"/>
  <c r="AA75" i="12"/>
  <c r="AA76" i="12"/>
  <c r="AA77" i="12"/>
  <c r="AA78" i="12"/>
  <c r="AA79" i="12"/>
  <c r="AA80" i="12"/>
  <c r="AA81" i="12"/>
  <c r="AA82" i="12"/>
  <c r="AA83" i="12"/>
  <c r="AA84" i="12"/>
  <c r="AA85" i="12"/>
  <c r="AA86" i="12"/>
  <c r="AA87" i="12"/>
  <c r="AA88" i="12"/>
  <c r="AA89" i="12"/>
  <c r="AA90" i="12"/>
  <c r="AA91" i="12"/>
  <c r="AA92" i="12"/>
  <c r="AA93" i="12"/>
  <c r="AA94" i="12"/>
  <c r="AA95" i="12"/>
  <c r="AA96" i="12"/>
  <c r="AA97" i="12"/>
  <c r="AA98" i="12"/>
  <c r="AA99" i="12"/>
  <c r="AA100" i="12"/>
  <c r="AA101" i="12"/>
  <c r="AA102" i="12"/>
  <c r="AA103" i="12"/>
  <c r="AA104" i="12"/>
  <c r="AA105" i="12"/>
  <c r="AA106" i="12"/>
  <c r="AA107" i="12"/>
  <c r="AA108" i="12"/>
  <c r="AA109" i="12"/>
  <c r="AA110" i="12"/>
  <c r="AA111" i="12"/>
  <c r="AA112" i="12"/>
  <c r="AA113" i="12"/>
  <c r="AA114" i="12"/>
  <c r="AA115" i="12"/>
  <c r="AA116" i="12"/>
  <c r="AA117" i="12"/>
  <c r="AA118" i="12"/>
  <c r="AA119" i="12"/>
  <c r="AA120" i="12"/>
  <c r="AA121" i="12"/>
  <c r="AA15" i="12"/>
  <c r="U16" i="20" l="1"/>
  <c r="U17" i="20"/>
  <c r="U18" i="20"/>
  <c r="U19" i="20"/>
  <c r="U20" i="20"/>
  <c r="U21" i="20"/>
  <c r="U22" i="20"/>
  <c r="U23" i="20"/>
  <c r="U24" i="20"/>
  <c r="U25" i="20"/>
  <c r="U26" i="20"/>
  <c r="U27" i="20"/>
  <c r="U28" i="20"/>
  <c r="U29" i="20"/>
  <c r="U30" i="20"/>
  <c r="U31" i="20"/>
  <c r="U32" i="20"/>
  <c r="U33" i="20"/>
  <c r="U34" i="20"/>
  <c r="U35" i="20"/>
  <c r="U36" i="20"/>
  <c r="U37" i="20"/>
  <c r="U15" i="20"/>
  <c r="J33" i="39" l="1"/>
  <c r="S75" i="21" l="1"/>
  <c r="S74" i="21"/>
  <c r="S73" i="21"/>
  <c r="S72" i="21"/>
  <c r="S71" i="21"/>
  <c r="S70" i="21"/>
  <c r="S69" i="21"/>
  <c r="S68" i="21"/>
  <c r="S67" i="21"/>
  <c r="S66" i="21"/>
  <c r="S65" i="21"/>
  <c r="S64" i="21"/>
  <c r="S63" i="21"/>
  <c r="S62" i="21"/>
  <c r="S61" i="21"/>
  <c r="S60" i="21"/>
  <c r="S59" i="21"/>
  <c r="S58" i="21"/>
  <c r="S57" i="21"/>
  <c r="S56" i="21"/>
  <c r="S16" i="21"/>
  <c r="S17" i="21"/>
  <c r="S18" i="21"/>
  <c r="S19" i="21"/>
  <c r="S20" i="21"/>
  <c r="S21" i="21"/>
  <c r="S22" i="21"/>
  <c r="S23" i="21"/>
  <c r="S24" i="21"/>
  <c r="S25" i="21"/>
  <c r="S26" i="21"/>
  <c r="S27" i="21"/>
  <c r="S28" i="21"/>
  <c r="S29" i="21"/>
  <c r="S30" i="21"/>
  <c r="S31" i="21"/>
  <c r="S32" i="21"/>
  <c r="S33" i="21"/>
  <c r="S34" i="21"/>
  <c r="S35" i="21"/>
  <c r="S36" i="21"/>
  <c r="S37" i="21"/>
  <c r="S15" i="21"/>
  <c r="D48" i="1" l="1"/>
  <c r="D50" i="1"/>
  <c r="D16" i="1"/>
  <c r="C57" i="1"/>
  <c r="D15" i="1" l="1"/>
  <c r="D14" i="1" s="1"/>
  <c r="D57" i="1" s="1"/>
  <c r="BP27" i="39"/>
  <c r="BM27" i="39"/>
  <c r="BL15" i="37"/>
  <c r="BL16" i="37"/>
  <c r="BL17" i="37"/>
  <c r="BL18" i="37"/>
  <c r="BL19" i="37"/>
  <c r="BL20" i="37"/>
  <c r="BL21" i="37"/>
  <c r="BL22" i="37"/>
  <c r="BL23" i="37"/>
  <c r="BL24" i="37"/>
  <c r="BL25" i="37"/>
  <c r="BL26" i="37"/>
  <c r="BL27" i="37"/>
  <c r="BL28" i="37"/>
  <c r="BL29" i="37"/>
  <c r="BL30" i="37"/>
  <c r="BL31" i="37"/>
  <c r="BL32" i="37"/>
  <c r="BL33" i="37"/>
  <c r="BL34" i="37"/>
  <c r="BL35" i="37"/>
  <c r="BL36" i="37"/>
  <c r="BL37" i="37"/>
  <c r="BL38" i="37"/>
  <c r="BL39" i="37"/>
  <c r="BL40" i="37"/>
  <c r="BL41" i="37"/>
  <c r="BL42" i="37"/>
  <c r="BL43" i="37"/>
  <c r="BL44" i="37"/>
  <c r="BL45" i="37"/>
  <c r="BL46" i="37"/>
  <c r="BL47" i="37"/>
  <c r="BL48" i="37"/>
  <c r="BL49" i="37"/>
  <c r="BL50" i="37"/>
  <c r="BL51" i="37"/>
  <c r="BL52" i="37"/>
  <c r="BL53" i="37"/>
  <c r="BL54" i="37"/>
  <c r="BL55" i="37"/>
  <c r="BL56" i="37"/>
  <c r="BL57" i="37"/>
  <c r="BL58" i="37"/>
  <c r="BL59" i="37"/>
  <c r="BL60" i="37"/>
  <c r="BL61" i="37"/>
  <c r="BL62" i="37"/>
  <c r="BL63" i="37"/>
  <c r="BL64" i="37"/>
  <c r="BL65" i="37"/>
  <c r="BL66" i="37"/>
  <c r="BL67" i="37"/>
  <c r="BL68" i="37"/>
  <c r="BL69" i="37"/>
  <c r="BL71" i="37"/>
  <c r="BL72" i="37"/>
  <c r="BL73" i="37"/>
  <c r="BL74" i="37"/>
  <c r="BL75" i="37"/>
  <c r="BL76" i="37"/>
  <c r="BL77" i="37"/>
  <c r="BL78" i="37"/>
  <c r="BL79" i="37"/>
  <c r="BL80" i="37"/>
  <c r="BL81" i="37"/>
  <c r="BL82" i="37"/>
  <c r="BL83" i="37"/>
  <c r="BL84" i="37"/>
  <c r="BL86" i="37"/>
  <c r="BL87" i="37"/>
  <c r="BL88" i="37"/>
  <c r="BL89" i="37"/>
  <c r="BL90" i="37"/>
  <c r="BL91" i="37"/>
  <c r="BI15" i="37"/>
  <c r="BI16" i="37"/>
  <c r="BI17" i="37"/>
  <c r="BI18" i="37"/>
  <c r="BI19" i="37"/>
  <c r="BI20" i="37"/>
  <c r="BI21" i="37"/>
  <c r="BI22" i="37"/>
  <c r="BI23" i="37"/>
  <c r="BI24" i="37"/>
  <c r="BI25" i="37"/>
  <c r="BI26" i="37"/>
  <c r="BI27" i="37"/>
  <c r="BI28" i="37"/>
  <c r="BI29" i="37"/>
  <c r="BI30" i="37"/>
  <c r="BI31" i="37"/>
  <c r="BI32" i="37"/>
  <c r="BI33" i="37"/>
  <c r="BI34" i="37"/>
  <c r="BI35" i="37"/>
  <c r="BI36" i="37"/>
  <c r="BI37" i="37"/>
  <c r="BI38" i="37"/>
  <c r="BI39" i="37"/>
  <c r="BI40" i="37"/>
  <c r="BI41" i="37"/>
  <c r="BI42" i="37"/>
  <c r="BI43" i="37"/>
  <c r="BI44" i="37"/>
  <c r="BI45" i="37"/>
  <c r="BI46" i="37"/>
  <c r="BI47" i="37"/>
  <c r="BI48" i="37"/>
  <c r="BI49" i="37"/>
  <c r="BI50" i="37"/>
  <c r="BI51" i="37"/>
  <c r="BI52" i="37"/>
  <c r="BI53" i="37"/>
  <c r="BI54" i="37"/>
  <c r="BI55" i="37"/>
  <c r="BI56" i="37"/>
  <c r="BI57" i="37"/>
  <c r="BI58" i="37"/>
  <c r="BI59" i="37"/>
  <c r="BI60" i="37"/>
  <c r="BI61" i="37"/>
  <c r="BI62" i="37"/>
  <c r="BI63" i="37"/>
  <c r="BI64" i="37"/>
  <c r="BI65" i="37"/>
  <c r="BI66" i="37"/>
  <c r="BI67" i="37"/>
  <c r="BI68" i="37"/>
  <c r="BI69" i="37"/>
  <c r="BI71" i="37"/>
  <c r="BI72" i="37"/>
  <c r="BI73" i="37"/>
  <c r="BI74" i="37"/>
  <c r="BI75" i="37"/>
  <c r="BI76" i="37"/>
  <c r="BI77" i="37"/>
  <c r="BI78" i="37"/>
  <c r="BI79" i="37"/>
  <c r="BI80" i="37"/>
  <c r="BI81" i="37"/>
  <c r="BI82" i="37"/>
  <c r="BI83" i="37"/>
  <c r="BI84" i="37"/>
  <c r="BI86" i="37"/>
  <c r="BI87" i="37"/>
  <c r="BI88" i="37"/>
  <c r="BI89" i="37"/>
  <c r="BI90" i="37"/>
  <c r="BI91" i="37"/>
  <c r="BL14" i="37"/>
  <c r="BI14" i="37"/>
  <c r="BN31" i="39" l="1"/>
  <c r="BF31" i="39"/>
  <c r="BD31" i="39"/>
  <c r="BB31" i="39"/>
  <c r="AZ31" i="39"/>
  <c r="AX31" i="39"/>
  <c r="AV31" i="39"/>
  <c r="AT31" i="39"/>
  <c r="AR31" i="39"/>
  <c r="AP31" i="39"/>
  <c r="AN31" i="39"/>
  <c r="AL31" i="39"/>
  <c r="AJ31" i="39"/>
  <c r="AH31" i="39"/>
  <c r="AF31" i="39"/>
  <c r="AD31" i="39"/>
  <c r="AB31" i="39"/>
  <c r="Z31" i="39"/>
  <c r="X31" i="39"/>
  <c r="V31" i="39"/>
  <c r="T31" i="39"/>
  <c r="R31" i="39"/>
  <c r="P31" i="39"/>
  <c r="N31" i="39"/>
  <c r="L31" i="39"/>
  <c r="BN30" i="39"/>
  <c r="BF30" i="39"/>
  <c r="BD30" i="39"/>
  <c r="BB30" i="39"/>
  <c r="AZ30" i="39"/>
  <c r="AX30" i="39"/>
  <c r="AV30" i="39"/>
  <c r="AT30" i="39"/>
  <c r="AR30" i="39"/>
  <c r="AP30" i="39"/>
  <c r="AN30" i="39"/>
  <c r="AL30" i="39"/>
  <c r="AJ30" i="39"/>
  <c r="AH30" i="39"/>
  <c r="AF30" i="39"/>
  <c r="AD30" i="39"/>
  <c r="AB30" i="39"/>
  <c r="Z30" i="39"/>
  <c r="X30" i="39"/>
  <c r="V30" i="39"/>
  <c r="T30" i="39"/>
  <c r="R30" i="39"/>
  <c r="P30" i="39"/>
  <c r="N30" i="39"/>
  <c r="L30" i="39"/>
  <c r="BN29" i="39"/>
  <c r="BF29" i="39"/>
  <c r="BD29" i="39"/>
  <c r="BB29" i="39"/>
  <c r="AZ29" i="39"/>
  <c r="AX29" i="39"/>
  <c r="AV29" i="39"/>
  <c r="AT29" i="39"/>
  <c r="AR29" i="39"/>
  <c r="AP29" i="39"/>
  <c r="AN29" i="39"/>
  <c r="AL29" i="39"/>
  <c r="AJ29" i="39"/>
  <c r="AH29" i="39"/>
  <c r="AF29" i="39"/>
  <c r="AD29" i="39"/>
  <c r="AB29" i="39"/>
  <c r="Z29" i="39"/>
  <c r="X29" i="39"/>
  <c r="V29" i="39"/>
  <c r="T29" i="39"/>
  <c r="R29" i="39"/>
  <c r="P29" i="39"/>
  <c r="N29" i="39"/>
  <c r="L29" i="39"/>
  <c r="BN28" i="39"/>
  <c r="BF28" i="39"/>
  <c r="BD28" i="39"/>
  <c r="BB28" i="39"/>
  <c r="AZ28" i="39"/>
  <c r="AX28" i="39"/>
  <c r="AV28" i="39"/>
  <c r="AT28" i="39"/>
  <c r="AR28" i="39"/>
  <c r="AP28" i="39"/>
  <c r="AN28" i="39"/>
  <c r="AL28" i="39"/>
  <c r="AJ28" i="39"/>
  <c r="AH28" i="39"/>
  <c r="AF28" i="39"/>
  <c r="AD28" i="39"/>
  <c r="AB28" i="39"/>
  <c r="Z28" i="39"/>
  <c r="X28" i="39"/>
  <c r="V28" i="39"/>
  <c r="T28" i="39"/>
  <c r="R28" i="39"/>
  <c r="P28" i="39"/>
  <c r="N28" i="39"/>
  <c r="L28" i="39"/>
  <c r="BN27" i="39"/>
  <c r="BF27" i="39"/>
  <c r="BD27" i="39"/>
  <c r="BB27" i="39"/>
  <c r="AZ27" i="39"/>
  <c r="AX27" i="39"/>
  <c r="AV27" i="39"/>
  <c r="AT27" i="39"/>
  <c r="AR27" i="39"/>
  <c r="AP27" i="39"/>
  <c r="AN27" i="39"/>
  <c r="AL27" i="39"/>
  <c r="AJ27" i="39"/>
  <c r="AH27" i="39"/>
  <c r="AF27" i="39"/>
  <c r="AD27" i="39"/>
  <c r="AB27" i="39"/>
  <c r="Z27" i="39"/>
  <c r="X27" i="39"/>
  <c r="V27" i="39"/>
  <c r="T27" i="39"/>
  <c r="R27" i="39"/>
  <c r="P27" i="39"/>
  <c r="N27" i="39"/>
  <c r="L27" i="39"/>
  <c r="BN26" i="39"/>
  <c r="BF26" i="39"/>
  <c r="BD26" i="39"/>
  <c r="BB26" i="39"/>
  <c r="AZ26" i="39"/>
  <c r="AX26" i="39"/>
  <c r="AV26" i="39"/>
  <c r="AT26" i="39"/>
  <c r="AR26" i="39"/>
  <c r="AP26" i="39"/>
  <c r="AN26" i="39"/>
  <c r="AL26" i="39"/>
  <c r="AJ26" i="39"/>
  <c r="AH26" i="39"/>
  <c r="AF26" i="39"/>
  <c r="AD26" i="39"/>
  <c r="AB26" i="39"/>
  <c r="Z26" i="39"/>
  <c r="X26" i="39"/>
  <c r="V26" i="39"/>
  <c r="T26" i="39"/>
  <c r="R26" i="39"/>
  <c r="P26" i="39"/>
  <c r="N26" i="39"/>
  <c r="L26" i="39"/>
  <c r="BN25" i="39"/>
  <c r="BF25" i="39"/>
  <c r="BD25" i="39"/>
  <c r="BB25" i="39"/>
  <c r="AZ25" i="39"/>
  <c r="AX25" i="39"/>
  <c r="AV25" i="39"/>
  <c r="AT25" i="39"/>
  <c r="AR25" i="39"/>
  <c r="AP25" i="39"/>
  <c r="AN25" i="39"/>
  <c r="AL25" i="39"/>
  <c r="AJ25" i="39"/>
  <c r="AH25" i="39"/>
  <c r="AF25" i="39"/>
  <c r="AD25" i="39"/>
  <c r="AB25" i="39"/>
  <c r="Z25" i="39"/>
  <c r="X25" i="39"/>
  <c r="V25" i="39"/>
  <c r="T25" i="39"/>
  <c r="R25" i="39"/>
  <c r="P25" i="39"/>
  <c r="N25" i="39"/>
  <c r="L25" i="39"/>
  <c r="BN24" i="39"/>
  <c r="BF24" i="39"/>
  <c r="BD24" i="39"/>
  <c r="BB24" i="39"/>
  <c r="AZ24" i="39"/>
  <c r="AX24" i="39"/>
  <c r="AV24" i="39"/>
  <c r="AT24" i="39"/>
  <c r="AR24" i="39"/>
  <c r="AP24" i="39"/>
  <c r="AN24" i="39"/>
  <c r="AL24" i="39"/>
  <c r="AJ24" i="39"/>
  <c r="AH24" i="39"/>
  <c r="AF24" i="39"/>
  <c r="AD24" i="39"/>
  <c r="AB24" i="39"/>
  <c r="Z24" i="39"/>
  <c r="X24" i="39"/>
  <c r="V24" i="39"/>
  <c r="T24" i="39"/>
  <c r="R24" i="39"/>
  <c r="P24" i="39"/>
  <c r="N24" i="39"/>
  <c r="L24" i="39"/>
  <c r="BN23" i="39"/>
  <c r="BF23" i="39"/>
  <c r="BD23" i="39"/>
  <c r="BB23" i="39"/>
  <c r="AZ23" i="39"/>
  <c r="AX23" i="39"/>
  <c r="AV23" i="39"/>
  <c r="AT23" i="39"/>
  <c r="AR23" i="39"/>
  <c r="AP23" i="39"/>
  <c r="AN23" i="39"/>
  <c r="AL23" i="39"/>
  <c r="AJ23" i="39"/>
  <c r="AH23" i="39"/>
  <c r="AF23" i="39"/>
  <c r="AD23" i="39"/>
  <c r="AB23" i="39"/>
  <c r="Z23" i="39"/>
  <c r="X23" i="39"/>
  <c r="V23" i="39"/>
  <c r="T23" i="39"/>
  <c r="R23" i="39"/>
  <c r="P23" i="39"/>
  <c r="N23" i="39"/>
  <c r="L23" i="39"/>
  <c r="BN22" i="39"/>
  <c r="BF22" i="39"/>
  <c r="BD22" i="39"/>
  <c r="BB22" i="39"/>
  <c r="AZ22" i="39"/>
  <c r="AX22" i="39"/>
  <c r="AV22" i="39"/>
  <c r="AT22" i="39"/>
  <c r="AR22" i="39"/>
  <c r="AP22" i="39"/>
  <c r="AN22" i="39"/>
  <c r="AL22" i="39"/>
  <c r="AJ22" i="39"/>
  <c r="AH22" i="39"/>
  <c r="AF22" i="39"/>
  <c r="AD22" i="39"/>
  <c r="AB22" i="39"/>
  <c r="Z22" i="39"/>
  <c r="X22" i="39"/>
  <c r="V22" i="39"/>
  <c r="T22" i="39"/>
  <c r="R22" i="39"/>
  <c r="P22" i="39"/>
  <c r="N22" i="39"/>
  <c r="L22" i="39"/>
  <c r="BN21" i="39"/>
  <c r="BF21" i="39"/>
  <c r="BD21" i="39"/>
  <c r="BB21" i="39"/>
  <c r="AZ21" i="39"/>
  <c r="AX21" i="39"/>
  <c r="AV21" i="39"/>
  <c r="AT21" i="39"/>
  <c r="AR21" i="39"/>
  <c r="AP21" i="39"/>
  <c r="AN21" i="39"/>
  <c r="AL21" i="39"/>
  <c r="AJ21" i="39"/>
  <c r="AH21" i="39"/>
  <c r="AF21" i="39"/>
  <c r="AD21" i="39"/>
  <c r="AB21" i="39"/>
  <c r="Z21" i="39"/>
  <c r="X21" i="39"/>
  <c r="V21" i="39"/>
  <c r="T21" i="39"/>
  <c r="R21" i="39"/>
  <c r="P21" i="39"/>
  <c r="N21" i="39"/>
  <c r="L21" i="39"/>
  <c r="BN20" i="39"/>
  <c r="BF20" i="39"/>
  <c r="BD20" i="39"/>
  <c r="BB20" i="39"/>
  <c r="AZ20" i="39"/>
  <c r="AX20" i="39"/>
  <c r="AV20" i="39"/>
  <c r="AT20" i="39"/>
  <c r="AR20" i="39"/>
  <c r="AP20" i="39"/>
  <c r="AN20" i="39"/>
  <c r="AL20" i="39"/>
  <c r="AJ20" i="39"/>
  <c r="AH20" i="39"/>
  <c r="AF20" i="39"/>
  <c r="AD20" i="39"/>
  <c r="AB20" i="39"/>
  <c r="Z20" i="39"/>
  <c r="X20" i="39"/>
  <c r="V20" i="39"/>
  <c r="T20" i="39"/>
  <c r="R20" i="39"/>
  <c r="P20" i="39"/>
  <c r="N20" i="39"/>
  <c r="L20" i="39"/>
  <c r="BN19" i="39"/>
  <c r="BF19" i="39"/>
  <c r="BD19" i="39"/>
  <c r="BB19" i="39"/>
  <c r="AZ19" i="39"/>
  <c r="AX19" i="39"/>
  <c r="AV19" i="39"/>
  <c r="AT19" i="39"/>
  <c r="AR19" i="39"/>
  <c r="AP19" i="39"/>
  <c r="AN19" i="39"/>
  <c r="AL19" i="39"/>
  <c r="AJ19" i="39"/>
  <c r="AH19" i="39"/>
  <c r="AF19" i="39"/>
  <c r="AD19" i="39"/>
  <c r="AB19" i="39"/>
  <c r="Z19" i="39"/>
  <c r="X19" i="39"/>
  <c r="V19" i="39"/>
  <c r="T19" i="39"/>
  <c r="R19" i="39"/>
  <c r="P19" i="39"/>
  <c r="N19" i="39"/>
  <c r="L19" i="39"/>
  <c r="BN18" i="39"/>
  <c r="BF18" i="39"/>
  <c r="BD18" i="39"/>
  <c r="BB18" i="39"/>
  <c r="AZ18" i="39"/>
  <c r="AX18" i="39"/>
  <c r="AV18" i="39"/>
  <c r="AT18" i="39"/>
  <c r="AR18" i="39"/>
  <c r="AP18" i="39"/>
  <c r="AN18" i="39"/>
  <c r="AL18" i="39"/>
  <c r="AJ18" i="39"/>
  <c r="AH18" i="39"/>
  <c r="AF18" i="39"/>
  <c r="AD18" i="39"/>
  <c r="AB18" i="39"/>
  <c r="Z18" i="39"/>
  <c r="X18" i="39"/>
  <c r="V18" i="39"/>
  <c r="T18" i="39"/>
  <c r="R18" i="39"/>
  <c r="P18" i="39"/>
  <c r="N18" i="39"/>
  <c r="L18" i="39"/>
  <c r="BN17" i="39"/>
  <c r="BF17" i="39"/>
  <c r="BD17" i="39"/>
  <c r="BB17" i="39"/>
  <c r="AZ17" i="39"/>
  <c r="AX17" i="39"/>
  <c r="AV17" i="39"/>
  <c r="AT17" i="39"/>
  <c r="AR17" i="39"/>
  <c r="AP17" i="39"/>
  <c r="AN17" i="39"/>
  <c r="AL17" i="39"/>
  <c r="AJ17" i="39"/>
  <c r="AH17" i="39"/>
  <c r="AF17" i="39"/>
  <c r="AD17" i="39"/>
  <c r="AB17" i="39"/>
  <c r="Z17" i="39"/>
  <c r="X17" i="39"/>
  <c r="V17" i="39"/>
  <c r="T17" i="39"/>
  <c r="R17" i="39"/>
  <c r="P17" i="39"/>
  <c r="N17" i="39"/>
  <c r="L17" i="39"/>
  <c r="BN16" i="39"/>
  <c r="BF16" i="39"/>
  <c r="BD16" i="39"/>
  <c r="BB16" i="39"/>
  <c r="AZ16" i="39"/>
  <c r="AX16" i="39"/>
  <c r="AV16" i="39"/>
  <c r="AT16" i="39"/>
  <c r="AR16" i="39"/>
  <c r="AP16" i="39"/>
  <c r="AN16" i="39"/>
  <c r="AL16" i="39"/>
  <c r="AJ16" i="39"/>
  <c r="AH16" i="39"/>
  <c r="AF16" i="39"/>
  <c r="AD16" i="39"/>
  <c r="AB16" i="39"/>
  <c r="Z16" i="39"/>
  <c r="X16" i="39"/>
  <c r="V16" i="39"/>
  <c r="T16" i="39"/>
  <c r="R16" i="39"/>
  <c r="P16" i="39"/>
  <c r="N16" i="39"/>
  <c r="L16" i="39"/>
  <c r="BN15" i="39"/>
  <c r="BF15" i="39"/>
  <c r="BD15" i="39"/>
  <c r="BB15" i="39"/>
  <c r="AZ15" i="39"/>
  <c r="AX15" i="39"/>
  <c r="AV15" i="39"/>
  <c r="AT15" i="39"/>
  <c r="AR15" i="39"/>
  <c r="AP15" i="39"/>
  <c r="AN15" i="39"/>
  <c r="AL15" i="39"/>
  <c r="AJ15" i="39"/>
  <c r="AH15" i="39"/>
  <c r="AF15" i="39"/>
  <c r="AD15" i="39"/>
  <c r="AB15" i="39"/>
  <c r="Z15" i="39"/>
  <c r="X15" i="39"/>
  <c r="V15" i="39"/>
  <c r="T15" i="39"/>
  <c r="R15" i="39"/>
  <c r="P15" i="39"/>
  <c r="N15" i="39"/>
  <c r="L15" i="39"/>
  <c r="BO14" i="39"/>
  <c r="BN14" i="39"/>
  <c r="BF14" i="39"/>
  <c r="BD14" i="39"/>
  <c r="BB14" i="39"/>
  <c r="AZ14" i="39"/>
  <c r="AX14" i="39"/>
  <c r="AV14" i="39"/>
  <c r="AT14" i="39"/>
  <c r="AR14" i="39"/>
  <c r="AP14" i="39"/>
  <c r="AN14" i="39"/>
  <c r="AL14" i="39"/>
  <c r="AJ14" i="39"/>
  <c r="AH14" i="39"/>
  <c r="AF14" i="39"/>
  <c r="AD14" i="39"/>
  <c r="AB14" i="39"/>
  <c r="Z14" i="39"/>
  <c r="X14" i="39"/>
  <c r="V14" i="39"/>
  <c r="T14" i="39"/>
  <c r="R14" i="39"/>
  <c r="P14" i="39"/>
  <c r="N14" i="39"/>
  <c r="L14" i="39"/>
  <c r="K14" i="39"/>
  <c r="BO13" i="39"/>
  <c r="BN13" i="39"/>
  <c r="BF13" i="39"/>
  <c r="BD13" i="39"/>
  <c r="BB13" i="39"/>
  <c r="AZ13" i="39"/>
  <c r="AX13" i="39"/>
  <c r="AV13" i="39"/>
  <c r="AT13" i="39"/>
  <c r="AR13" i="39"/>
  <c r="AP13" i="39"/>
  <c r="AN13" i="39"/>
  <c r="AL13" i="39"/>
  <c r="AJ13" i="39"/>
  <c r="AH13" i="39"/>
  <c r="AF13" i="39"/>
  <c r="AD13" i="39"/>
  <c r="AB13" i="39"/>
  <c r="Z13" i="39"/>
  <c r="X13" i="39"/>
  <c r="V13" i="39"/>
  <c r="T13" i="39"/>
  <c r="R13" i="39"/>
  <c r="P13" i="39"/>
  <c r="N13" i="39"/>
  <c r="L13" i="39"/>
  <c r="K13" i="39"/>
  <c r="BO12" i="39"/>
  <c r="BN12" i="39"/>
  <c r="BF12" i="39"/>
  <c r="BD12" i="39"/>
  <c r="BB12" i="39"/>
  <c r="AZ12" i="39"/>
  <c r="AX12" i="39"/>
  <c r="AV12" i="39"/>
  <c r="AT12" i="39"/>
  <c r="AR12" i="39"/>
  <c r="AP12" i="39"/>
  <c r="AN12" i="39"/>
  <c r="AL12" i="39"/>
  <c r="AJ12" i="39"/>
  <c r="AH12" i="39"/>
  <c r="AF12" i="39"/>
  <c r="AD12" i="39"/>
  <c r="AB12" i="39"/>
  <c r="Z12" i="39"/>
  <c r="X12" i="39"/>
  <c r="V12" i="39"/>
  <c r="T12" i="39"/>
  <c r="R12" i="39"/>
  <c r="P12" i="39"/>
  <c r="N12" i="39"/>
  <c r="L12" i="39"/>
  <c r="K12" i="39"/>
  <c r="J14" i="39"/>
  <c r="J13" i="39" s="1"/>
  <c r="J12" i="39" s="1"/>
  <c r="BG23" i="38"/>
  <c r="BJ23" i="38" s="1"/>
  <c r="BF23" i="38"/>
  <c r="BD23" i="38"/>
  <c r="BB23" i="38"/>
  <c r="AZ23" i="38"/>
  <c r="AX23" i="38"/>
  <c r="AV23" i="38"/>
  <c r="AT23" i="38"/>
  <c r="AR23" i="38"/>
  <c r="AP23" i="38"/>
  <c r="AN23" i="38"/>
  <c r="AL23" i="38"/>
  <c r="AJ23" i="38"/>
  <c r="AH23" i="38"/>
  <c r="AF23" i="38"/>
  <c r="AD23" i="38"/>
  <c r="AB23" i="38"/>
  <c r="Z23" i="38"/>
  <c r="X23" i="38"/>
  <c r="V23" i="38"/>
  <c r="T23" i="38"/>
  <c r="R23" i="38"/>
  <c r="P23" i="38"/>
  <c r="N23" i="38"/>
  <c r="K23" i="38"/>
  <c r="L23" i="38" s="1"/>
  <c r="BG22" i="38"/>
  <c r="BJ22" i="38" s="1"/>
  <c r="BF22" i="38"/>
  <c r="BD22" i="38"/>
  <c r="BB22" i="38"/>
  <c r="AZ22" i="38"/>
  <c r="AX22" i="38"/>
  <c r="AV22" i="38"/>
  <c r="AT22" i="38"/>
  <c r="AR22" i="38"/>
  <c r="AP22" i="38"/>
  <c r="AN22" i="38"/>
  <c r="AL22" i="38"/>
  <c r="AJ22" i="38"/>
  <c r="AH22" i="38"/>
  <c r="AF22" i="38"/>
  <c r="AD22" i="38"/>
  <c r="AB22" i="38"/>
  <c r="Z22" i="38"/>
  <c r="X22" i="38"/>
  <c r="V22" i="38"/>
  <c r="T22" i="38"/>
  <c r="R22" i="38"/>
  <c r="P22" i="38"/>
  <c r="N22" i="38"/>
  <c r="K22" i="38"/>
  <c r="L22" i="38" s="1"/>
  <c r="BG21" i="38"/>
  <c r="BJ21" i="38" s="1"/>
  <c r="BF21" i="38"/>
  <c r="BD21" i="38"/>
  <c r="BB21" i="38"/>
  <c r="AZ21" i="38"/>
  <c r="AX21" i="38"/>
  <c r="AV21" i="38"/>
  <c r="AT21" i="38"/>
  <c r="AR21" i="38"/>
  <c r="AP21" i="38"/>
  <c r="AN21" i="38"/>
  <c r="AL21" i="38"/>
  <c r="AJ21" i="38"/>
  <c r="AH21" i="38"/>
  <c r="AF21" i="38"/>
  <c r="AD21" i="38"/>
  <c r="AB21" i="38"/>
  <c r="Z21" i="38"/>
  <c r="X21" i="38"/>
  <c r="V21" i="38"/>
  <c r="T21" i="38"/>
  <c r="R21" i="38"/>
  <c r="P21" i="38"/>
  <c r="N21" i="38"/>
  <c r="K21" i="38"/>
  <c r="L21" i="38" s="1"/>
  <c r="BG20" i="38"/>
  <c r="BJ20" i="38" s="1"/>
  <c r="BF20" i="38"/>
  <c r="BD20" i="38"/>
  <c r="BB20" i="38"/>
  <c r="AZ20" i="38"/>
  <c r="AX20" i="38"/>
  <c r="AV20" i="38"/>
  <c r="AT20" i="38"/>
  <c r="AR20" i="38"/>
  <c r="AP20" i="38"/>
  <c r="AN20" i="38"/>
  <c r="AL20" i="38"/>
  <c r="AJ20" i="38"/>
  <c r="AH20" i="38"/>
  <c r="AF20" i="38"/>
  <c r="AD20" i="38"/>
  <c r="AB20" i="38"/>
  <c r="Z20" i="38"/>
  <c r="X20" i="38"/>
  <c r="V20" i="38"/>
  <c r="T20" i="38"/>
  <c r="R20" i="38"/>
  <c r="P20" i="38"/>
  <c r="N20" i="38"/>
  <c r="K20" i="38"/>
  <c r="L20" i="38" s="1"/>
  <c r="BG19" i="38"/>
  <c r="BJ19" i="38" s="1"/>
  <c r="BF19" i="38"/>
  <c r="BD19" i="38"/>
  <c r="BB19" i="38"/>
  <c r="AZ19" i="38"/>
  <c r="AX19" i="38"/>
  <c r="AV19" i="38"/>
  <c r="AT19" i="38"/>
  <c r="AR19" i="38"/>
  <c r="AP19" i="38"/>
  <c r="AN19" i="38"/>
  <c r="AL19" i="38"/>
  <c r="AJ19" i="38"/>
  <c r="AH19" i="38"/>
  <c r="AF19" i="38"/>
  <c r="AD19" i="38"/>
  <c r="AB19" i="38"/>
  <c r="Z19" i="38"/>
  <c r="X19" i="38"/>
  <c r="V19" i="38"/>
  <c r="T19" i="38"/>
  <c r="R19" i="38"/>
  <c r="P19" i="38"/>
  <c r="N19" i="38"/>
  <c r="K19" i="38"/>
  <c r="L19" i="38" s="1"/>
  <c r="BG18" i="38"/>
  <c r="BJ18" i="38" s="1"/>
  <c r="BF18" i="38"/>
  <c r="BD18" i="38"/>
  <c r="BB18" i="38"/>
  <c r="AZ18" i="38"/>
  <c r="AX18" i="38"/>
  <c r="AV18" i="38"/>
  <c r="AT18" i="38"/>
  <c r="AR18" i="38"/>
  <c r="AP18" i="38"/>
  <c r="AN18" i="38"/>
  <c r="AL18" i="38"/>
  <c r="AJ18" i="38"/>
  <c r="AH18" i="38"/>
  <c r="AF18" i="38"/>
  <c r="AD18" i="38"/>
  <c r="AB18" i="38"/>
  <c r="Z18" i="38"/>
  <c r="X18" i="38"/>
  <c r="V18" i="38"/>
  <c r="T18" i="38"/>
  <c r="R18" i="38"/>
  <c r="P18" i="38"/>
  <c r="N18" i="38"/>
  <c r="K18" i="38"/>
  <c r="L18" i="38" s="1"/>
  <c r="BG17" i="38"/>
  <c r="BJ17" i="38" s="1"/>
  <c r="BF17" i="38"/>
  <c r="BD17" i="38"/>
  <c r="BB17" i="38"/>
  <c r="AZ17" i="38"/>
  <c r="AX17" i="38"/>
  <c r="AV17" i="38"/>
  <c r="AT17" i="38"/>
  <c r="AR17" i="38"/>
  <c r="AP17" i="38"/>
  <c r="AN17" i="38"/>
  <c r="AL17" i="38"/>
  <c r="AJ17" i="38"/>
  <c r="AH17" i="38"/>
  <c r="AF17" i="38"/>
  <c r="AD17" i="38"/>
  <c r="AB17" i="38"/>
  <c r="Z17" i="38"/>
  <c r="X17" i="38"/>
  <c r="V17" i="38"/>
  <c r="T17" i="38"/>
  <c r="R17" i="38"/>
  <c r="P17" i="38"/>
  <c r="N17" i="38"/>
  <c r="K17" i="38"/>
  <c r="L17" i="38" s="1"/>
  <c r="BG16" i="38"/>
  <c r="BJ16" i="38" s="1"/>
  <c r="BF16" i="38"/>
  <c r="BD16" i="38"/>
  <c r="BB16" i="38"/>
  <c r="AZ16" i="38"/>
  <c r="AX16" i="38"/>
  <c r="AV16" i="38"/>
  <c r="AT16" i="38"/>
  <c r="AR16" i="38"/>
  <c r="AP16" i="38"/>
  <c r="AN16" i="38"/>
  <c r="AL16" i="38"/>
  <c r="AJ16" i="38"/>
  <c r="AH16" i="38"/>
  <c r="AF16" i="38"/>
  <c r="AD16" i="38"/>
  <c r="AB16" i="38"/>
  <c r="Z16" i="38"/>
  <c r="X16" i="38"/>
  <c r="V16" i="38"/>
  <c r="T16" i="38"/>
  <c r="R16" i="38"/>
  <c r="P16" i="38"/>
  <c r="N16" i="38"/>
  <c r="K16" i="38"/>
  <c r="L16" i="38" s="1"/>
  <c r="BG15" i="38"/>
  <c r="BJ15" i="38" s="1"/>
  <c r="BF15" i="38"/>
  <c r="BD15" i="38"/>
  <c r="BB15" i="38"/>
  <c r="AZ15" i="38"/>
  <c r="AX15" i="38"/>
  <c r="AV15" i="38"/>
  <c r="AT15" i="38"/>
  <c r="AR15" i="38"/>
  <c r="AP15" i="38"/>
  <c r="AN15" i="38"/>
  <c r="AL15" i="38"/>
  <c r="AJ15" i="38"/>
  <c r="AH15" i="38"/>
  <c r="AF15" i="38"/>
  <c r="AD15" i="38"/>
  <c r="AB15" i="38"/>
  <c r="Z15" i="38"/>
  <c r="X15" i="38"/>
  <c r="V15" i="38"/>
  <c r="T15" i="38"/>
  <c r="R15" i="38"/>
  <c r="P15" i="38"/>
  <c r="N15" i="38"/>
  <c r="K15" i="38"/>
  <c r="L15" i="38" s="1"/>
  <c r="BK14" i="38"/>
  <c r="BJ14" i="38"/>
  <c r="BH14" i="38"/>
  <c r="BG14" i="38"/>
  <c r="BF14" i="38"/>
  <c r="BD14" i="38"/>
  <c r="BB14" i="38"/>
  <c r="AZ14" i="38"/>
  <c r="AX14" i="38"/>
  <c r="AV14" i="38"/>
  <c r="AT14" i="38"/>
  <c r="AR14" i="38"/>
  <c r="AP14" i="38"/>
  <c r="AN14" i="38"/>
  <c r="AL14" i="38"/>
  <c r="AJ14" i="38"/>
  <c r="AH14" i="38"/>
  <c r="AF14" i="38"/>
  <c r="AD14" i="38"/>
  <c r="AB14" i="38"/>
  <c r="Z14" i="38"/>
  <c r="X14" i="38"/>
  <c r="V14" i="38"/>
  <c r="T14" i="38"/>
  <c r="R14" i="38"/>
  <c r="P14" i="38"/>
  <c r="N14" i="38"/>
  <c r="L14" i="38"/>
  <c r="K14" i="38"/>
  <c r="BK13" i="38"/>
  <c r="BJ13" i="38"/>
  <c r="BH13" i="38"/>
  <c r="BG13" i="38"/>
  <c r="BF13" i="38"/>
  <c r="BD13" i="38"/>
  <c r="BB13" i="38"/>
  <c r="AZ13" i="38"/>
  <c r="AX13" i="38"/>
  <c r="AV13" i="38"/>
  <c r="AT13" i="38"/>
  <c r="AR13" i="38"/>
  <c r="AP13" i="38"/>
  <c r="AN13" i="38"/>
  <c r="AL13" i="38"/>
  <c r="AJ13" i="38"/>
  <c r="AH13" i="38"/>
  <c r="AF13" i="38"/>
  <c r="AD13" i="38"/>
  <c r="AB13" i="38"/>
  <c r="Z13" i="38"/>
  <c r="X13" i="38"/>
  <c r="V13" i="38"/>
  <c r="T13" i="38"/>
  <c r="R13" i="38"/>
  <c r="P13" i="38"/>
  <c r="N13" i="38"/>
  <c r="L13" i="38"/>
  <c r="K13" i="38"/>
  <c r="BK12" i="38"/>
  <c r="BJ12" i="38"/>
  <c r="BH12" i="38"/>
  <c r="BG12" i="38"/>
  <c r="BF12" i="38"/>
  <c r="BD12" i="38"/>
  <c r="BB12" i="38"/>
  <c r="AZ12" i="38"/>
  <c r="AX12" i="38"/>
  <c r="AV12" i="38"/>
  <c r="AT12" i="38"/>
  <c r="AR12" i="38"/>
  <c r="AP12" i="38"/>
  <c r="AN12" i="38"/>
  <c r="AL12" i="38"/>
  <c r="AJ12" i="38"/>
  <c r="AH12" i="38"/>
  <c r="AF12" i="38"/>
  <c r="AD12" i="38"/>
  <c r="AB12" i="38"/>
  <c r="Z12" i="38"/>
  <c r="X12" i="38"/>
  <c r="V12" i="38"/>
  <c r="T12" i="38"/>
  <c r="R12" i="38"/>
  <c r="P12" i="38"/>
  <c r="N12" i="38"/>
  <c r="L12" i="38"/>
  <c r="K12" i="38"/>
  <c r="BH8" i="38"/>
  <c r="J14" i="38"/>
  <c r="J13" i="38" s="1"/>
  <c r="J12" i="38" s="1"/>
  <c r="J25" i="38" s="1"/>
  <c r="BG91" i="37"/>
  <c r="BJ91" i="37" s="1"/>
  <c r="BF91" i="37"/>
  <c r="BD91" i="37"/>
  <c r="BB91" i="37"/>
  <c r="AZ91" i="37"/>
  <c r="AX91" i="37"/>
  <c r="AV91" i="37"/>
  <c r="AT91" i="37"/>
  <c r="AR91" i="37"/>
  <c r="AP91" i="37"/>
  <c r="AN91" i="37"/>
  <c r="AL91" i="37"/>
  <c r="AJ91" i="37"/>
  <c r="AH91" i="37"/>
  <c r="AF91" i="37"/>
  <c r="AD91" i="37"/>
  <c r="AB91" i="37"/>
  <c r="Z91" i="37"/>
  <c r="X91" i="37"/>
  <c r="V91" i="37"/>
  <c r="T91" i="37"/>
  <c r="R91" i="37"/>
  <c r="P91" i="37"/>
  <c r="N91" i="37"/>
  <c r="L91" i="37"/>
  <c r="K91" i="37"/>
  <c r="BG90" i="37"/>
  <c r="BJ90" i="37" s="1"/>
  <c r="BF90" i="37"/>
  <c r="BD90" i="37"/>
  <c r="BB90" i="37"/>
  <c r="AZ90" i="37"/>
  <c r="AX90" i="37"/>
  <c r="AV90" i="37"/>
  <c r="AT90" i="37"/>
  <c r="AR90" i="37"/>
  <c r="AP90" i="37"/>
  <c r="AN90" i="37"/>
  <c r="AL90" i="37"/>
  <c r="AJ90" i="37"/>
  <c r="AH90" i="37"/>
  <c r="AF90" i="37"/>
  <c r="AD90" i="37"/>
  <c r="AB90" i="37"/>
  <c r="Z90" i="37"/>
  <c r="X90" i="37"/>
  <c r="V90" i="37"/>
  <c r="T90" i="37"/>
  <c r="R90" i="37"/>
  <c r="P90" i="37"/>
  <c r="N90" i="37"/>
  <c r="L90" i="37"/>
  <c r="K90" i="37"/>
  <c r="BG89" i="37"/>
  <c r="BJ89" i="37" s="1"/>
  <c r="BF89" i="37"/>
  <c r="BD89" i="37"/>
  <c r="BB89" i="37"/>
  <c r="AZ89" i="37"/>
  <c r="AX89" i="37"/>
  <c r="AV89" i="37"/>
  <c r="AT89" i="37"/>
  <c r="AR89" i="37"/>
  <c r="AP89" i="37"/>
  <c r="AN89" i="37"/>
  <c r="AL89" i="37"/>
  <c r="AJ89" i="37"/>
  <c r="AH89" i="37"/>
  <c r="AF89" i="37"/>
  <c r="AD89" i="37"/>
  <c r="AB89" i="37"/>
  <c r="Z89" i="37"/>
  <c r="X89" i="37"/>
  <c r="V89" i="37"/>
  <c r="T89" i="37"/>
  <c r="R89" i="37"/>
  <c r="P89" i="37"/>
  <c r="N89" i="37"/>
  <c r="L89" i="37"/>
  <c r="K89" i="37"/>
  <c r="BG88" i="37"/>
  <c r="BJ88" i="37" s="1"/>
  <c r="BF88" i="37"/>
  <c r="BD88" i="37"/>
  <c r="BB88" i="37"/>
  <c r="AZ88" i="37"/>
  <c r="AX88" i="37"/>
  <c r="AV88" i="37"/>
  <c r="AT88" i="37"/>
  <c r="AR88" i="37"/>
  <c r="AP88" i="37"/>
  <c r="AN88" i="37"/>
  <c r="AL88" i="37"/>
  <c r="AJ88" i="37"/>
  <c r="AH88" i="37"/>
  <c r="AF88" i="37"/>
  <c r="AD88" i="37"/>
  <c r="AB88" i="37"/>
  <c r="Z88" i="37"/>
  <c r="X88" i="37"/>
  <c r="V88" i="37"/>
  <c r="T88" i="37"/>
  <c r="R88" i="37"/>
  <c r="P88" i="37"/>
  <c r="N88" i="37"/>
  <c r="L88" i="37"/>
  <c r="K88" i="37"/>
  <c r="BG87" i="37"/>
  <c r="BJ87" i="37" s="1"/>
  <c r="BF87" i="37"/>
  <c r="BD87" i="37"/>
  <c r="BB87" i="37"/>
  <c r="AZ87" i="37"/>
  <c r="AX87" i="37"/>
  <c r="AV87" i="37"/>
  <c r="AT87" i="37"/>
  <c r="AR87" i="37"/>
  <c r="AP87" i="37"/>
  <c r="AN87" i="37"/>
  <c r="AL87" i="37"/>
  <c r="AJ87" i="37"/>
  <c r="AH87" i="37"/>
  <c r="AF87" i="37"/>
  <c r="AD87" i="37"/>
  <c r="AB87" i="37"/>
  <c r="Z87" i="37"/>
  <c r="X87" i="37"/>
  <c r="V87" i="37"/>
  <c r="T87" i="37"/>
  <c r="R87" i="37"/>
  <c r="P87" i="37"/>
  <c r="N87" i="37"/>
  <c r="L87" i="37"/>
  <c r="K87" i="37"/>
  <c r="BG86" i="37"/>
  <c r="BJ86" i="37" s="1"/>
  <c r="BF86" i="37"/>
  <c r="BD86" i="37"/>
  <c r="BB86" i="37"/>
  <c r="AZ86" i="37"/>
  <c r="AX86" i="37"/>
  <c r="AV86" i="37"/>
  <c r="AT86" i="37"/>
  <c r="AR86" i="37"/>
  <c r="AP86" i="37"/>
  <c r="AN86" i="37"/>
  <c r="AL86" i="37"/>
  <c r="AJ86" i="37"/>
  <c r="AH86" i="37"/>
  <c r="AF86" i="37"/>
  <c r="AD86" i="37"/>
  <c r="AB86" i="37"/>
  <c r="Z86" i="37"/>
  <c r="X86" i="37"/>
  <c r="V86" i="37"/>
  <c r="T86" i="37"/>
  <c r="R86" i="37"/>
  <c r="P86" i="37"/>
  <c r="N86" i="37"/>
  <c r="L86" i="37"/>
  <c r="K86" i="37"/>
  <c r="BK85" i="37"/>
  <c r="BJ85" i="37"/>
  <c r="BH85" i="37"/>
  <c r="BG85" i="37"/>
  <c r="BF85" i="37"/>
  <c r="BD85" i="37"/>
  <c r="BB85" i="37"/>
  <c r="AZ85" i="37"/>
  <c r="AX85" i="37"/>
  <c r="AV85" i="37"/>
  <c r="AT85" i="37"/>
  <c r="AR85" i="37"/>
  <c r="AP85" i="37"/>
  <c r="AN85" i="37"/>
  <c r="AL85" i="37"/>
  <c r="AJ85" i="37"/>
  <c r="AH85" i="37"/>
  <c r="AF85" i="37"/>
  <c r="AD85" i="37"/>
  <c r="AB85" i="37"/>
  <c r="Z85" i="37"/>
  <c r="X85" i="37"/>
  <c r="V85" i="37"/>
  <c r="T85" i="37"/>
  <c r="R85" i="37"/>
  <c r="P85" i="37"/>
  <c r="N85" i="37"/>
  <c r="L85" i="37"/>
  <c r="K85" i="37"/>
  <c r="BG84" i="37"/>
  <c r="BJ84" i="37" s="1"/>
  <c r="BF84" i="37"/>
  <c r="BD84" i="37"/>
  <c r="BB84" i="37"/>
  <c r="AZ84" i="37"/>
  <c r="AX84" i="37"/>
  <c r="AV84" i="37"/>
  <c r="AT84" i="37"/>
  <c r="AR84" i="37"/>
  <c r="AP84" i="37"/>
  <c r="AN84" i="37"/>
  <c r="AL84" i="37"/>
  <c r="AJ84" i="37"/>
  <c r="AH84" i="37"/>
  <c r="AF84" i="37"/>
  <c r="AD84" i="37"/>
  <c r="AB84" i="37"/>
  <c r="Z84" i="37"/>
  <c r="X84" i="37"/>
  <c r="V84" i="37"/>
  <c r="T84" i="37"/>
  <c r="R84" i="37"/>
  <c r="P84" i="37"/>
  <c r="N84" i="37"/>
  <c r="L84" i="37"/>
  <c r="K84" i="37"/>
  <c r="BG83" i="37"/>
  <c r="BJ83" i="37" s="1"/>
  <c r="BF83" i="37"/>
  <c r="BD83" i="37"/>
  <c r="BB83" i="37"/>
  <c r="AZ83" i="37"/>
  <c r="AX83" i="37"/>
  <c r="AV83" i="37"/>
  <c r="AT83" i="37"/>
  <c r="AR83" i="37"/>
  <c r="AP83" i="37"/>
  <c r="AN83" i="37"/>
  <c r="AL83" i="37"/>
  <c r="AJ83" i="37"/>
  <c r="AH83" i="37"/>
  <c r="AF83" i="37"/>
  <c r="AD83" i="37"/>
  <c r="AB83" i="37"/>
  <c r="Z83" i="37"/>
  <c r="X83" i="37"/>
  <c r="V83" i="37"/>
  <c r="T83" i="37"/>
  <c r="R83" i="37"/>
  <c r="P83" i="37"/>
  <c r="N83" i="37"/>
  <c r="L83" i="37"/>
  <c r="K83" i="37"/>
  <c r="BG82" i="37"/>
  <c r="BJ82" i="37" s="1"/>
  <c r="BF82" i="37"/>
  <c r="BD82" i="37"/>
  <c r="BB82" i="37"/>
  <c r="AZ82" i="37"/>
  <c r="AX82" i="37"/>
  <c r="AV82" i="37"/>
  <c r="AT82" i="37"/>
  <c r="AR82" i="37"/>
  <c r="AP82" i="37"/>
  <c r="AN82" i="37"/>
  <c r="AL82" i="37"/>
  <c r="AJ82" i="37"/>
  <c r="AH82" i="37"/>
  <c r="AF82" i="37"/>
  <c r="AD82" i="37"/>
  <c r="AB82" i="37"/>
  <c r="Z82" i="37"/>
  <c r="X82" i="37"/>
  <c r="V82" i="37"/>
  <c r="T82" i="37"/>
  <c r="R82" i="37"/>
  <c r="P82" i="37"/>
  <c r="N82" i="37"/>
  <c r="L82" i="37"/>
  <c r="K82" i="37"/>
  <c r="BG81" i="37"/>
  <c r="BJ81" i="37" s="1"/>
  <c r="BF81" i="37"/>
  <c r="BD81" i="37"/>
  <c r="BB81" i="37"/>
  <c r="AZ81" i="37"/>
  <c r="AX81" i="37"/>
  <c r="AV81" i="37"/>
  <c r="AT81" i="37"/>
  <c r="AR81" i="37"/>
  <c r="AP81" i="37"/>
  <c r="AN81" i="37"/>
  <c r="AL81" i="37"/>
  <c r="AJ81" i="37"/>
  <c r="AH81" i="37"/>
  <c r="AF81" i="37"/>
  <c r="AD81" i="37"/>
  <c r="AB81" i="37"/>
  <c r="Z81" i="37"/>
  <c r="X81" i="37"/>
  <c r="V81" i="37"/>
  <c r="T81" i="37"/>
  <c r="R81" i="37"/>
  <c r="P81" i="37"/>
  <c r="N81" i="37"/>
  <c r="L81" i="37"/>
  <c r="K81" i="37"/>
  <c r="BG80" i="37"/>
  <c r="BJ80" i="37" s="1"/>
  <c r="BF80" i="37"/>
  <c r="BD80" i="37"/>
  <c r="BB80" i="37"/>
  <c r="AZ80" i="37"/>
  <c r="AX80" i="37"/>
  <c r="AV80" i="37"/>
  <c r="AT80" i="37"/>
  <c r="AR80" i="37"/>
  <c r="AP80" i="37"/>
  <c r="AN80" i="37"/>
  <c r="AL80" i="37"/>
  <c r="AJ80" i="37"/>
  <c r="AH80" i="37"/>
  <c r="AF80" i="37"/>
  <c r="AD80" i="37"/>
  <c r="AB80" i="37"/>
  <c r="Z80" i="37"/>
  <c r="X80" i="37"/>
  <c r="V80" i="37"/>
  <c r="T80" i="37"/>
  <c r="R80" i="37"/>
  <c r="P80" i="37"/>
  <c r="N80" i="37"/>
  <c r="L80" i="37"/>
  <c r="K80" i="37"/>
  <c r="BG79" i="37"/>
  <c r="BJ79" i="37" s="1"/>
  <c r="BF79" i="37"/>
  <c r="BD79" i="37"/>
  <c r="BB79" i="37"/>
  <c r="AZ79" i="37"/>
  <c r="AX79" i="37"/>
  <c r="AV79" i="37"/>
  <c r="AT79" i="37"/>
  <c r="AR79" i="37"/>
  <c r="AP79" i="37"/>
  <c r="AN79" i="37"/>
  <c r="AL79" i="37"/>
  <c r="AJ79" i="37"/>
  <c r="AH79" i="37"/>
  <c r="AF79" i="37"/>
  <c r="AD79" i="37"/>
  <c r="AB79" i="37"/>
  <c r="Z79" i="37"/>
  <c r="X79" i="37"/>
  <c r="V79" i="37"/>
  <c r="T79" i="37"/>
  <c r="R79" i="37"/>
  <c r="P79" i="37"/>
  <c r="N79" i="37"/>
  <c r="L79" i="37"/>
  <c r="K79" i="37"/>
  <c r="BG78" i="37"/>
  <c r="BJ78" i="37" s="1"/>
  <c r="BF78" i="37"/>
  <c r="BD78" i="37"/>
  <c r="BB78" i="37"/>
  <c r="AZ78" i="37"/>
  <c r="AX78" i="37"/>
  <c r="AV78" i="37"/>
  <c r="AT78" i="37"/>
  <c r="AR78" i="37"/>
  <c r="AP78" i="37"/>
  <c r="AN78" i="37"/>
  <c r="AL78" i="37"/>
  <c r="AJ78" i="37"/>
  <c r="AH78" i="37"/>
  <c r="AF78" i="37"/>
  <c r="AD78" i="37"/>
  <c r="AB78" i="37"/>
  <c r="Z78" i="37"/>
  <c r="X78" i="37"/>
  <c r="V78" i="37"/>
  <c r="T78" i="37"/>
  <c r="R78" i="37"/>
  <c r="P78" i="37"/>
  <c r="N78" i="37"/>
  <c r="L78" i="37"/>
  <c r="K78" i="37"/>
  <c r="BG77" i="37"/>
  <c r="BJ77" i="37" s="1"/>
  <c r="BF77" i="37"/>
  <c r="BD77" i="37"/>
  <c r="BB77" i="37"/>
  <c r="AZ77" i="37"/>
  <c r="AX77" i="37"/>
  <c r="AV77" i="37"/>
  <c r="AT77" i="37"/>
  <c r="AR77" i="37"/>
  <c r="AP77" i="37"/>
  <c r="AN77" i="37"/>
  <c r="AL77" i="37"/>
  <c r="AJ77" i="37"/>
  <c r="AH77" i="37"/>
  <c r="AF77" i="37"/>
  <c r="AD77" i="37"/>
  <c r="AB77" i="37"/>
  <c r="Z77" i="37"/>
  <c r="X77" i="37"/>
  <c r="V77" i="37"/>
  <c r="T77" i="37"/>
  <c r="R77" i="37"/>
  <c r="P77" i="37"/>
  <c r="N77" i="37"/>
  <c r="L77" i="37"/>
  <c r="K77" i="37"/>
  <c r="BG76" i="37"/>
  <c r="BJ76" i="37" s="1"/>
  <c r="BF76" i="37"/>
  <c r="BD76" i="37"/>
  <c r="BB76" i="37"/>
  <c r="AZ76" i="37"/>
  <c r="AX76" i="37"/>
  <c r="AV76" i="37"/>
  <c r="AT76" i="37"/>
  <c r="AR76" i="37"/>
  <c r="AP76" i="37"/>
  <c r="AN76" i="37"/>
  <c r="AL76" i="37"/>
  <c r="AJ76" i="37"/>
  <c r="AH76" i="37"/>
  <c r="AF76" i="37"/>
  <c r="AD76" i="37"/>
  <c r="AB76" i="37"/>
  <c r="Z76" i="37"/>
  <c r="X76" i="37"/>
  <c r="V76" i="37"/>
  <c r="T76" i="37"/>
  <c r="R76" i="37"/>
  <c r="P76" i="37"/>
  <c r="N76" i="37"/>
  <c r="L76" i="37"/>
  <c r="K76" i="37"/>
  <c r="BG75" i="37"/>
  <c r="BJ75" i="37" s="1"/>
  <c r="BF75" i="37"/>
  <c r="BD75" i="37"/>
  <c r="BB75" i="37"/>
  <c r="AZ75" i="37"/>
  <c r="AX75" i="37"/>
  <c r="AV75" i="37"/>
  <c r="AT75" i="37"/>
  <c r="AR75" i="37"/>
  <c r="AP75" i="37"/>
  <c r="AN75" i="37"/>
  <c r="AL75" i="37"/>
  <c r="AJ75" i="37"/>
  <c r="AH75" i="37"/>
  <c r="AF75" i="37"/>
  <c r="AD75" i="37"/>
  <c r="AB75" i="37"/>
  <c r="Z75" i="37"/>
  <c r="X75" i="37"/>
  <c r="V75" i="37"/>
  <c r="T75" i="37"/>
  <c r="R75" i="37"/>
  <c r="P75" i="37"/>
  <c r="N75" i="37"/>
  <c r="L75" i="37"/>
  <c r="K75" i="37"/>
  <c r="BG74" i="37"/>
  <c r="BJ74" i="37" s="1"/>
  <c r="BF74" i="37"/>
  <c r="BD74" i="37"/>
  <c r="BB74" i="37"/>
  <c r="AZ74" i="37"/>
  <c r="AX74" i="37"/>
  <c r="AV74" i="37"/>
  <c r="AT74" i="37"/>
  <c r="AR74" i="37"/>
  <c r="AP74" i="37"/>
  <c r="AN74" i="37"/>
  <c r="AL74" i="37"/>
  <c r="AJ74" i="37"/>
  <c r="AH74" i="37"/>
  <c r="AF74" i="37"/>
  <c r="AD74" i="37"/>
  <c r="AB74" i="37"/>
  <c r="Z74" i="37"/>
  <c r="X74" i="37"/>
  <c r="V74" i="37"/>
  <c r="T74" i="37"/>
  <c r="R74" i="37"/>
  <c r="P74" i="37"/>
  <c r="N74" i="37"/>
  <c r="L74" i="37"/>
  <c r="K74" i="37"/>
  <c r="BG73" i="37"/>
  <c r="BJ73" i="37" s="1"/>
  <c r="BF73" i="37"/>
  <c r="BD73" i="37"/>
  <c r="BB73" i="37"/>
  <c r="AZ73" i="37"/>
  <c r="AX73" i="37"/>
  <c r="AV73" i="37"/>
  <c r="AT73" i="37"/>
  <c r="AR73" i="37"/>
  <c r="AP73" i="37"/>
  <c r="AN73" i="37"/>
  <c r="AL73" i="37"/>
  <c r="AJ73" i="37"/>
  <c r="AH73" i="37"/>
  <c r="AF73" i="37"/>
  <c r="AD73" i="37"/>
  <c r="AB73" i="37"/>
  <c r="Z73" i="37"/>
  <c r="X73" i="37"/>
  <c r="V73" i="37"/>
  <c r="T73" i="37"/>
  <c r="R73" i="37"/>
  <c r="P73" i="37"/>
  <c r="N73" i="37"/>
  <c r="L73" i="37"/>
  <c r="K73" i="37"/>
  <c r="BG72" i="37"/>
  <c r="BJ72" i="37" s="1"/>
  <c r="BF72" i="37"/>
  <c r="BD72" i="37"/>
  <c r="BB72" i="37"/>
  <c r="AZ72" i="37"/>
  <c r="AX72" i="37"/>
  <c r="AV72" i="37"/>
  <c r="AT72" i="37"/>
  <c r="AR72" i="37"/>
  <c r="AP72" i="37"/>
  <c r="AN72" i="37"/>
  <c r="AL72" i="37"/>
  <c r="AJ72" i="37"/>
  <c r="AH72" i="37"/>
  <c r="AF72" i="37"/>
  <c r="AD72" i="37"/>
  <c r="AB72" i="37"/>
  <c r="Z72" i="37"/>
  <c r="X72" i="37"/>
  <c r="V72" i="37"/>
  <c r="T72" i="37"/>
  <c r="R72" i="37"/>
  <c r="P72" i="37"/>
  <c r="N72" i="37"/>
  <c r="L72" i="37"/>
  <c r="K72" i="37"/>
  <c r="BG71" i="37"/>
  <c r="BJ71" i="37" s="1"/>
  <c r="BF71" i="37"/>
  <c r="BD71" i="37"/>
  <c r="BB71" i="37"/>
  <c r="AZ71" i="37"/>
  <c r="AX71" i="37"/>
  <c r="AV71" i="37"/>
  <c r="AT71" i="37"/>
  <c r="AR71" i="37"/>
  <c r="AP71" i="37"/>
  <c r="AN71" i="37"/>
  <c r="AL71" i="37"/>
  <c r="AJ71" i="37"/>
  <c r="AH71" i="37"/>
  <c r="AF71" i="37"/>
  <c r="AD71" i="37"/>
  <c r="AB71" i="37"/>
  <c r="Z71" i="37"/>
  <c r="X71" i="37"/>
  <c r="V71" i="37"/>
  <c r="T71" i="37"/>
  <c r="R71" i="37"/>
  <c r="P71" i="37"/>
  <c r="N71" i="37"/>
  <c r="L71" i="37"/>
  <c r="K71" i="37"/>
  <c r="BK70" i="37"/>
  <c r="BJ70" i="37"/>
  <c r="BH70" i="37"/>
  <c r="BG70" i="37"/>
  <c r="BF70" i="37"/>
  <c r="BD70" i="37"/>
  <c r="BB70" i="37"/>
  <c r="AZ70" i="37"/>
  <c r="AX70" i="37"/>
  <c r="AV70" i="37"/>
  <c r="AT70" i="37"/>
  <c r="AR70" i="37"/>
  <c r="AP70" i="37"/>
  <c r="AN70" i="37"/>
  <c r="AL70" i="37"/>
  <c r="AJ70" i="37"/>
  <c r="AH70" i="37"/>
  <c r="AF70" i="37"/>
  <c r="AD70" i="37"/>
  <c r="AB70" i="37"/>
  <c r="Z70" i="37"/>
  <c r="X70" i="37"/>
  <c r="V70" i="37"/>
  <c r="T70" i="37"/>
  <c r="R70" i="37"/>
  <c r="P70" i="37"/>
  <c r="N70" i="37"/>
  <c r="L70" i="37"/>
  <c r="K70" i="37"/>
  <c r="BG69" i="37"/>
  <c r="BJ69" i="37" s="1"/>
  <c r="BF69" i="37"/>
  <c r="BD69" i="37"/>
  <c r="BB69" i="37"/>
  <c r="AZ69" i="37"/>
  <c r="AX69" i="37"/>
  <c r="AV69" i="37"/>
  <c r="AT69" i="37"/>
  <c r="AR69" i="37"/>
  <c r="AP69" i="37"/>
  <c r="AN69" i="37"/>
  <c r="AL69" i="37"/>
  <c r="AJ69" i="37"/>
  <c r="AH69" i="37"/>
  <c r="AF69" i="37"/>
  <c r="AD69" i="37"/>
  <c r="AB69" i="37"/>
  <c r="Z69" i="37"/>
  <c r="X69" i="37"/>
  <c r="V69" i="37"/>
  <c r="T69" i="37"/>
  <c r="R69" i="37"/>
  <c r="P69" i="37"/>
  <c r="N69" i="37"/>
  <c r="L69" i="37"/>
  <c r="K69" i="37"/>
  <c r="BG68" i="37"/>
  <c r="BJ68" i="37" s="1"/>
  <c r="BF68" i="37"/>
  <c r="BD68" i="37"/>
  <c r="BB68" i="37"/>
  <c r="AZ68" i="37"/>
  <c r="AX68" i="37"/>
  <c r="AV68" i="37"/>
  <c r="AT68" i="37"/>
  <c r="AR68" i="37"/>
  <c r="AP68" i="37"/>
  <c r="AN68" i="37"/>
  <c r="AL68" i="37"/>
  <c r="AJ68" i="37"/>
  <c r="AH68" i="37"/>
  <c r="AF68" i="37"/>
  <c r="AD68" i="37"/>
  <c r="AB68" i="37"/>
  <c r="Z68" i="37"/>
  <c r="X68" i="37"/>
  <c r="V68" i="37"/>
  <c r="T68" i="37"/>
  <c r="R68" i="37"/>
  <c r="P68" i="37"/>
  <c r="N68" i="37"/>
  <c r="L68" i="37"/>
  <c r="K68" i="37"/>
  <c r="BG67" i="37"/>
  <c r="BJ67" i="37" s="1"/>
  <c r="BF67" i="37"/>
  <c r="BD67" i="37"/>
  <c r="BB67" i="37"/>
  <c r="AZ67" i="37"/>
  <c r="AX67" i="37"/>
  <c r="AV67" i="37"/>
  <c r="AT67" i="37"/>
  <c r="AR67" i="37"/>
  <c r="AP67" i="37"/>
  <c r="AN67" i="37"/>
  <c r="AL67" i="37"/>
  <c r="AJ67" i="37"/>
  <c r="AH67" i="37"/>
  <c r="AF67" i="37"/>
  <c r="AD67" i="37"/>
  <c r="AB67" i="37"/>
  <c r="Z67" i="37"/>
  <c r="X67" i="37"/>
  <c r="V67" i="37"/>
  <c r="T67" i="37"/>
  <c r="R67" i="37"/>
  <c r="P67" i="37"/>
  <c r="N67" i="37"/>
  <c r="L67" i="37"/>
  <c r="K67" i="37"/>
  <c r="BG66" i="37"/>
  <c r="BJ66" i="37" s="1"/>
  <c r="BF66" i="37"/>
  <c r="BD66" i="37"/>
  <c r="BB66" i="37"/>
  <c r="AZ66" i="37"/>
  <c r="AX66" i="37"/>
  <c r="AV66" i="37"/>
  <c r="AT66" i="37"/>
  <c r="AR66" i="37"/>
  <c r="AP66" i="37"/>
  <c r="AN66" i="37"/>
  <c r="AL66" i="37"/>
  <c r="AJ66" i="37"/>
  <c r="AH66" i="37"/>
  <c r="AF66" i="37"/>
  <c r="AD66" i="37"/>
  <c r="AB66" i="37"/>
  <c r="Z66" i="37"/>
  <c r="X66" i="37"/>
  <c r="V66" i="37"/>
  <c r="T66" i="37"/>
  <c r="R66" i="37"/>
  <c r="P66" i="37"/>
  <c r="N66" i="37"/>
  <c r="L66" i="37"/>
  <c r="K66" i="37"/>
  <c r="BG65" i="37"/>
  <c r="BJ65" i="37" s="1"/>
  <c r="BF65" i="37"/>
  <c r="BD65" i="37"/>
  <c r="BB65" i="37"/>
  <c r="AZ65" i="37"/>
  <c r="AX65" i="37"/>
  <c r="AV65" i="37"/>
  <c r="AT65" i="37"/>
  <c r="AR65" i="37"/>
  <c r="AP65" i="37"/>
  <c r="AN65" i="37"/>
  <c r="AL65" i="37"/>
  <c r="AJ65" i="37"/>
  <c r="AH65" i="37"/>
  <c r="AF65" i="37"/>
  <c r="AD65" i="37"/>
  <c r="AB65" i="37"/>
  <c r="Z65" i="37"/>
  <c r="X65" i="37"/>
  <c r="V65" i="37"/>
  <c r="T65" i="37"/>
  <c r="R65" i="37"/>
  <c r="P65" i="37"/>
  <c r="N65" i="37"/>
  <c r="L65" i="37"/>
  <c r="K65" i="37"/>
  <c r="BG64" i="37"/>
  <c r="BJ64" i="37" s="1"/>
  <c r="BF64" i="37"/>
  <c r="BD64" i="37"/>
  <c r="BB64" i="37"/>
  <c r="AZ64" i="37"/>
  <c r="AX64" i="37"/>
  <c r="AV64" i="37"/>
  <c r="AT64" i="37"/>
  <c r="AR64" i="37"/>
  <c r="AP64" i="37"/>
  <c r="AN64" i="37"/>
  <c r="AL64" i="37"/>
  <c r="AJ64" i="37"/>
  <c r="AH64" i="37"/>
  <c r="AF64" i="37"/>
  <c r="AD64" i="37"/>
  <c r="AB64" i="37"/>
  <c r="Z64" i="37"/>
  <c r="X64" i="37"/>
  <c r="V64" i="37"/>
  <c r="T64" i="37"/>
  <c r="R64" i="37"/>
  <c r="P64" i="37"/>
  <c r="N64" i="37"/>
  <c r="L64" i="37"/>
  <c r="K64" i="37"/>
  <c r="BG63" i="37"/>
  <c r="BJ63" i="37" s="1"/>
  <c r="BF63" i="37"/>
  <c r="BD63" i="37"/>
  <c r="BB63" i="37"/>
  <c r="AZ63" i="37"/>
  <c r="AX63" i="37"/>
  <c r="AV63" i="37"/>
  <c r="AT63" i="37"/>
  <c r="AR63" i="37"/>
  <c r="AP63" i="37"/>
  <c r="AN63" i="37"/>
  <c r="AL63" i="37"/>
  <c r="AJ63" i="37"/>
  <c r="AH63" i="37"/>
  <c r="AF63" i="37"/>
  <c r="AD63" i="37"/>
  <c r="AB63" i="37"/>
  <c r="Z63" i="37"/>
  <c r="X63" i="37"/>
  <c r="V63" i="37"/>
  <c r="T63" i="37"/>
  <c r="R63" i="37"/>
  <c r="P63" i="37"/>
  <c r="N63" i="37"/>
  <c r="L63" i="37"/>
  <c r="K63" i="37"/>
  <c r="BG62" i="37"/>
  <c r="BJ62" i="37" s="1"/>
  <c r="BF62" i="37"/>
  <c r="BD62" i="37"/>
  <c r="BB62" i="37"/>
  <c r="AZ62" i="37"/>
  <c r="AX62" i="37"/>
  <c r="AV62" i="37"/>
  <c r="AT62" i="37"/>
  <c r="AR62" i="37"/>
  <c r="AP62" i="37"/>
  <c r="AN62" i="37"/>
  <c r="AL62" i="37"/>
  <c r="AJ62" i="37"/>
  <c r="AH62" i="37"/>
  <c r="AF62" i="37"/>
  <c r="AD62" i="37"/>
  <c r="AB62" i="37"/>
  <c r="Z62" i="37"/>
  <c r="X62" i="37"/>
  <c r="V62" i="37"/>
  <c r="T62" i="37"/>
  <c r="R62" i="37"/>
  <c r="P62" i="37"/>
  <c r="N62" i="37"/>
  <c r="L62" i="37"/>
  <c r="K62" i="37"/>
  <c r="BG61" i="37"/>
  <c r="BJ61" i="37" s="1"/>
  <c r="BF61" i="37"/>
  <c r="BD61" i="37"/>
  <c r="BB61" i="37"/>
  <c r="AZ61" i="37"/>
  <c r="AX61" i="37"/>
  <c r="AV61" i="37"/>
  <c r="AT61" i="37"/>
  <c r="AR61" i="37"/>
  <c r="AP61" i="37"/>
  <c r="AN61" i="37"/>
  <c r="AL61" i="37"/>
  <c r="AJ61" i="37"/>
  <c r="AH61" i="37"/>
  <c r="AF61" i="37"/>
  <c r="AD61" i="37"/>
  <c r="AB61" i="37"/>
  <c r="Z61" i="37"/>
  <c r="X61" i="37"/>
  <c r="V61" i="37"/>
  <c r="T61" i="37"/>
  <c r="R61" i="37"/>
  <c r="P61" i="37"/>
  <c r="N61" i="37"/>
  <c r="L61" i="37"/>
  <c r="K61" i="37"/>
  <c r="BG60" i="37"/>
  <c r="BJ60" i="37" s="1"/>
  <c r="BF60" i="37"/>
  <c r="BD60" i="37"/>
  <c r="BB60" i="37"/>
  <c r="AZ60" i="37"/>
  <c r="AX60" i="37"/>
  <c r="AV60" i="37"/>
  <c r="AT60" i="37"/>
  <c r="AR60" i="37"/>
  <c r="AP60" i="37"/>
  <c r="AN60" i="37"/>
  <c r="AL60" i="37"/>
  <c r="AJ60" i="37"/>
  <c r="AH60" i="37"/>
  <c r="AF60" i="37"/>
  <c r="AD60" i="37"/>
  <c r="AB60" i="37"/>
  <c r="Z60" i="37"/>
  <c r="X60" i="37"/>
  <c r="V60" i="37"/>
  <c r="T60" i="37"/>
  <c r="R60" i="37"/>
  <c r="P60" i="37"/>
  <c r="N60" i="37"/>
  <c r="L60" i="37"/>
  <c r="K60" i="37"/>
  <c r="BG59" i="37"/>
  <c r="BJ59" i="37" s="1"/>
  <c r="BF59" i="37"/>
  <c r="BD59" i="37"/>
  <c r="BB59" i="37"/>
  <c r="AZ59" i="37"/>
  <c r="AX59" i="37"/>
  <c r="AV59" i="37"/>
  <c r="AT59" i="37"/>
  <c r="AR59" i="37"/>
  <c r="AP59" i="37"/>
  <c r="AN59" i="37"/>
  <c r="AL59" i="37"/>
  <c r="AJ59" i="37"/>
  <c r="AH59" i="37"/>
  <c r="AF59" i="37"/>
  <c r="AD59" i="37"/>
  <c r="AB59" i="37"/>
  <c r="Z59" i="37"/>
  <c r="X59" i="37"/>
  <c r="V59" i="37"/>
  <c r="T59" i="37"/>
  <c r="R59" i="37"/>
  <c r="P59" i="37"/>
  <c r="N59" i="37"/>
  <c r="L59" i="37"/>
  <c r="K59" i="37"/>
  <c r="BG58" i="37"/>
  <c r="BJ58" i="37" s="1"/>
  <c r="BF58" i="37"/>
  <c r="BD58" i="37"/>
  <c r="BB58" i="37"/>
  <c r="AZ58" i="37"/>
  <c r="AX58" i="37"/>
  <c r="AV58" i="37"/>
  <c r="AT58" i="37"/>
  <c r="AR58" i="37"/>
  <c r="AP58" i="37"/>
  <c r="AN58" i="37"/>
  <c r="AL58" i="37"/>
  <c r="AJ58" i="37"/>
  <c r="AH58" i="37"/>
  <c r="AF58" i="37"/>
  <c r="AD58" i="37"/>
  <c r="AB58" i="37"/>
  <c r="Z58" i="37"/>
  <c r="X58" i="37"/>
  <c r="V58" i="37"/>
  <c r="T58" i="37"/>
  <c r="R58" i="37"/>
  <c r="P58" i="37"/>
  <c r="N58" i="37"/>
  <c r="L58" i="37"/>
  <c r="K58" i="37"/>
  <c r="BG57" i="37"/>
  <c r="BJ57" i="37" s="1"/>
  <c r="BF57" i="37"/>
  <c r="BD57" i="37"/>
  <c r="BB57" i="37"/>
  <c r="AZ57" i="37"/>
  <c r="AX57" i="37"/>
  <c r="AV57" i="37"/>
  <c r="AT57" i="37"/>
  <c r="AR57" i="37"/>
  <c r="AP57" i="37"/>
  <c r="AN57" i="37"/>
  <c r="AL57" i="37"/>
  <c r="AJ57" i="37"/>
  <c r="AH57" i="37"/>
  <c r="AF57" i="37"/>
  <c r="AD57" i="37"/>
  <c r="AB57" i="37"/>
  <c r="Z57" i="37"/>
  <c r="X57" i="37"/>
  <c r="V57" i="37"/>
  <c r="T57" i="37"/>
  <c r="R57" i="37"/>
  <c r="P57" i="37"/>
  <c r="N57" i="37"/>
  <c r="L57" i="37"/>
  <c r="K57" i="37"/>
  <c r="BG56" i="37"/>
  <c r="BJ56" i="37" s="1"/>
  <c r="BF56" i="37"/>
  <c r="BD56" i="37"/>
  <c r="BB56" i="37"/>
  <c r="AZ56" i="37"/>
  <c r="AX56" i="37"/>
  <c r="AV56" i="37"/>
  <c r="AT56" i="37"/>
  <c r="AR56" i="37"/>
  <c r="AP56" i="37"/>
  <c r="AN56" i="37"/>
  <c r="AL56" i="37"/>
  <c r="AJ56" i="37"/>
  <c r="AH56" i="37"/>
  <c r="AF56" i="37"/>
  <c r="AD56" i="37"/>
  <c r="AB56" i="37"/>
  <c r="Z56" i="37"/>
  <c r="X56" i="37"/>
  <c r="V56" i="37"/>
  <c r="T56" i="37"/>
  <c r="R56" i="37"/>
  <c r="P56" i="37"/>
  <c r="N56" i="37"/>
  <c r="L56" i="37"/>
  <c r="K56" i="37"/>
  <c r="BG55" i="37"/>
  <c r="BJ55" i="37" s="1"/>
  <c r="BF55" i="37"/>
  <c r="BD55" i="37"/>
  <c r="BB55" i="37"/>
  <c r="AZ55" i="37"/>
  <c r="AX55" i="37"/>
  <c r="AV55" i="37"/>
  <c r="AT55" i="37"/>
  <c r="AR55" i="37"/>
  <c r="AP55" i="37"/>
  <c r="AN55" i="37"/>
  <c r="AL55" i="37"/>
  <c r="AJ55" i="37"/>
  <c r="AH55" i="37"/>
  <c r="AF55" i="37"/>
  <c r="AD55" i="37"/>
  <c r="AB55" i="37"/>
  <c r="Z55" i="37"/>
  <c r="X55" i="37"/>
  <c r="V55" i="37"/>
  <c r="T55" i="37"/>
  <c r="R55" i="37"/>
  <c r="P55" i="37"/>
  <c r="N55" i="37"/>
  <c r="L55" i="37"/>
  <c r="K55" i="37"/>
  <c r="BG54" i="37"/>
  <c r="BJ54" i="37" s="1"/>
  <c r="BF54" i="37"/>
  <c r="BD54" i="37"/>
  <c r="BB54" i="37"/>
  <c r="AZ54" i="37"/>
  <c r="AX54" i="37"/>
  <c r="AV54" i="37"/>
  <c r="AT54" i="37"/>
  <c r="AR54" i="37"/>
  <c r="AP54" i="37"/>
  <c r="AN54" i="37"/>
  <c r="AL54" i="37"/>
  <c r="AJ54" i="37"/>
  <c r="AH54" i="37"/>
  <c r="AF54" i="37"/>
  <c r="AD54" i="37"/>
  <c r="AB54" i="37"/>
  <c r="Z54" i="37"/>
  <c r="X54" i="37"/>
  <c r="V54" i="37"/>
  <c r="T54" i="37"/>
  <c r="R54" i="37"/>
  <c r="P54" i="37"/>
  <c r="N54" i="37"/>
  <c r="L54" i="37"/>
  <c r="K54" i="37"/>
  <c r="BG53" i="37"/>
  <c r="BJ53" i="37" s="1"/>
  <c r="BF53" i="37"/>
  <c r="BD53" i="37"/>
  <c r="BB53" i="37"/>
  <c r="AZ53" i="37"/>
  <c r="AX53" i="37"/>
  <c r="AV53" i="37"/>
  <c r="AT53" i="37"/>
  <c r="AR53" i="37"/>
  <c r="AP53" i="37"/>
  <c r="AN53" i="37"/>
  <c r="AL53" i="37"/>
  <c r="AJ53" i="37"/>
  <c r="AH53" i="37"/>
  <c r="AF53" i="37"/>
  <c r="AD53" i="37"/>
  <c r="AB53" i="37"/>
  <c r="Z53" i="37"/>
  <c r="X53" i="37"/>
  <c r="V53" i="37"/>
  <c r="T53" i="37"/>
  <c r="R53" i="37"/>
  <c r="P53" i="37"/>
  <c r="N53" i="37"/>
  <c r="L53" i="37"/>
  <c r="K53" i="37"/>
  <c r="BG52" i="37"/>
  <c r="BJ52" i="37" s="1"/>
  <c r="BF52" i="37"/>
  <c r="BD52" i="37"/>
  <c r="BB52" i="37"/>
  <c r="AZ52" i="37"/>
  <c r="AX52" i="37"/>
  <c r="AV52" i="37"/>
  <c r="AT52" i="37"/>
  <c r="AR52" i="37"/>
  <c r="AP52" i="37"/>
  <c r="AN52" i="37"/>
  <c r="AL52" i="37"/>
  <c r="AJ52" i="37"/>
  <c r="AH52" i="37"/>
  <c r="AF52" i="37"/>
  <c r="AD52" i="37"/>
  <c r="AB52" i="37"/>
  <c r="Z52" i="37"/>
  <c r="X52" i="37"/>
  <c r="V52" i="37"/>
  <c r="T52" i="37"/>
  <c r="R52" i="37"/>
  <c r="P52" i="37"/>
  <c r="N52" i="37"/>
  <c r="L52" i="37"/>
  <c r="K52" i="37"/>
  <c r="BG51" i="37"/>
  <c r="BJ51" i="37" s="1"/>
  <c r="BF51" i="37"/>
  <c r="BD51" i="37"/>
  <c r="BB51" i="37"/>
  <c r="AZ51" i="37"/>
  <c r="AX51" i="37"/>
  <c r="AV51" i="37"/>
  <c r="AT51" i="37"/>
  <c r="AR51" i="37"/>
  <c r="AP51" i="37"/>
  <c r="AN51" i="37"/>
  <c r="AL51" i="37"/>
  <c r="AJ51" i="37"/>
  <c r="AH51" i="37"/>
  <c r="AF51" i="37"/>
  <c r="AD51" i="37"/>
  <c r="AB51" i="37"/>
  <c r="Z51" i="37"/>
  <c r="X51" i="37"/>
  <c r="V51" i="37"/>
  <c r="T51" i="37"/>
  <c r="R51" i="37"/>
  <c r="P51" i="37"/>
  <c r="N51" i="37"/>
  <c r="L51" i="37"/>
  <c r="K51" i="37"/>
  <c r="BG50" i="37"/>
  <c r="BJ50" i="37" s="1"/>
  <c r="BF50" i="37"/>
  <c r="BD50" i="37"/>
  <c r="BB50" i="37"/>
  <c r="AZ50" i="37"/>
  <c r="AX50" i="37"/>
  <c r="AV50" i="37"/>
  <c r="AT50" i="37"/>
  <c r="AR50" i="37"/>
  <c r="AP50" i="37"/>
  <c r="AN50" i="37"/>
  <c r="AL50" i="37"/>
  <c r="AJ50" i="37"/>
  <c r="AH50" i="37"/>
  <c r="AF50" i="37"/>
  <c r="AD50" i="37"/>
  <c r="AB50" i="37"/>
  <c r="Z50" i="37"/>
  <c r="X50" i="37"/>
  <c r="V50" i="37"/>
  <c r="T50" i="37"/>
  <c r="R50" i="37"/>
  <c r="P50" i="37"/>
  <c r="N50" i="37"/>
  <c r="L50" i="37"/>
  <c r="K50" i="37"/>
  <c r="BG49" i="37"/>
  <c r="BJ49" i="37" s="1"/>
  <c r="BF49" i="37"/>
  <c r="BD49" i="37"/>
  <c r="BB49" i="37"/>
  <c r="AZ49" i="37"/>
  <c r="AX49" i="37"/>
  <c r="AV49" i="37"/>
  <c r="AT49" i="37"/>
  <c r="AR49" i="37"/>
  <c r="AP49" i="37"/>
  <c r="AN49" i="37"/>
  <c r="AL49" i="37"/>
  <c r="AJ49" i="37"/>
  <c r="AH49" i="37"/>
  <c r="AF49" i="37"/>
  <c r="AD49" i="37"/>
  <c r="AB49" i="37"/>
  <c r="Z49" i="37"/>
  <c r="X49" i="37"/>
  <c r="V49" i="37"/>
  <c r="T49" i="37"/>
  <c r="R49" i="37"/>
  <c r="P49" i="37"/>
  <c r="N49" i="37"/>
  <c r="L49" i="37"/>
  <c r="K49" i="37"/>
  <c r="BG48" i="37"/>
  <c r="BJ48" i="37" s="1"/>
  <c r="BF48" i="37"/>
  <c r="BD48" i="37"/>
  <c r="BB48" i="37"/>
  <c r="AZ48" i="37"/>
  <c r="AX48" i="37"/>
  <c r="AV48" i="37"/>
  <c r="AT48" i="37"/>
  <c r="AR48" i="37"/>
  <c r="AP48" i="37"/>
  <c r="AN48" i="37"/>
  <c r="AL48" i="37"/>
  <c r="AJ48" i="37"/>
  <c r="AH48" i="37"/>
  <c r="AF48" i="37"/>
  <c r="AD48" i="37"/>
  <c r="AB48" i="37"/>
  <c r="Z48" i="37"/>
  <c r="X48" i="37"/>
  <c r="V48" i="37"/>
  <c r="T48" i="37"/>
  <c r="R48" i="37"/>
  <c r="P48" i="37"/>
  <c r="N48" i="37"/>
  <c r="L48" i="37"/>
  <c r="K48" i="37"/>
  <c r="BG47" i="37"/>
  <c r="BJ47" i="37" s="1"/>
  <c r="BF47" i="37"/>
  <c r="BD47" i="37"/>
  <c r="BB47" i="37"/>
  <c r="AZ47" i="37"/>
  <c r="AX47" i="37"/>
  <c r="AV47" i="37"/>
  <c r="AT47" i="37"/>
  <c r="AR47" i="37"/>
  <c r="AP47" i="37"/>
  <c r="AN47" i="37"/>
  <c r="AL47" i="37"/>
  <c r="AJ47" i="37"/>
  <c r="AH47" i="37"/>
  <c r="AF47" i="37"/>
  <c r="AD47" i="37"/>
  <c r="AB47" i="37"/>
  <c r="Z47" i="37"/>
  <c r="X47" i="37"/>
  <c r="V47" i="37"/>
  <c r="T47" i="37"/>
  <c r="R47" i="37"/>
  <c r="P47" i="37"/>
  <c r="N47" i="37"/>
  <c r="L47" i="37"/>
  <c r="K47" i="37"/>
  <c r="BG46" i="37"/>
  <c r="BJ46" i="37" s="1"/>
  <c r="BF46" i="37"/>
  <c r="BD46" i="37"/>
  <c r="BB46" i="37"/>
  <c r="AZ46" i="37"/>
  <c r="AX46" i="37"/>
  <c r="AV46" i="37"/>
  <c r="AT46" i="37"/>
  <c r="AR46" i="37"/>
  <c r="AP46" i="37"/>
  <c r="AN46" i="37"/>
  <c r="AL46" i="37"/>
  <c r="AJ46" i="37"/>
  <c r="AH46" i="37"/>
  <c r="AF46" i="37"/>
  <c r="AD46" i="37"/>
  <c r="AB46" i="37"/>
  <c r="Z46" i="37"/>
  <c r="X46" i="37"/>
  <c r="V46" i="37"/>
  <c r="T46" i="37"/>
  <c r="R46" i="37"/>
  <c r="P46" i="37"/>
  <c r="N46" i="37"/>
  <c r="L46" i="37"/>
  <c r="K46" i="37"/>
  <c r="BG45" i="37"/>
  <c r="BJ45" i="37" s="1"/>
  <c r="BF45" i="37"/>
  <c r="BD45" i="37"/>
  <c r="BB45" i="37"/>
  <c r="AZ45" i="37"/>
  <c r="AX45" i="37"/>
  <c r="AV45" i="37"/>
  <c r="AT45" i="37"/>
  <c r="AR45" i="37"/>
  <c r="AP45" i="37"/>
  <c r="AN45" i="37"/>
  <c r="AL45" i="37"/>
  <c r="AJ45" i="37"/>
  <c r="AH45" i="37"/>
  <c r="AF45" i="37"/>
  <c r="AD45" i="37"/>
  <c r="AB45" i="37"/>
  <c r="Z45" i="37"/>
  <c r="X45" i="37"/>
  <c r="V45" i="37"/>
  <c r="T45" i="37"/>
  <c r="R45" i="37"/>
  <c r="P45" i="37"/>
  <c r="N45" i="37"/>
  <c r="L45" i="37"/>
  <c r="K45" i="37"/>
  <c r="BG44" i="37"/>
  <c r="BJ44" i="37" s="1"/>
  <c r="BF44" i="37"/>
  <c r="BD44" i="37"/>
  <c r="BB44" i="37"/>
  <c r="AZ44" i="37"/>
  <c r="AX44" i="37"/>
  <c r="AV44" i="37"/>
  <c r="AT44" i="37"/>
  <c r="AR44" i="37"/>
  <c r="AP44" i="37"/>
  <c r="AN44" i="37"/>
  <c r="AL44" i="37"/>
  <c r="AJ44" i="37"/>
  <c r="AH44" i="37"/>
  <c r="AF44" i="37"/>
  <c r="AD44" i="37"/>
  <c r="AB44" i="37"/>
  <c r="Z44" i="37"/>
  <c r="X44" i="37"/>
  <c r="V44" i="37"/>
  <c r="T44" i="37"/>
  <c r="R44" i="37"/>
  <c r="P44" i="37"/>
  <c r="N44" i="37"/>
  <c r="L44" i="37"/>
  <c r="K44" i="37"/>
  <c r="BG43" i="37"/>
  <c r="BJ43" i="37" s="1"/>
  <c r="BF43" i="37"/>
  <c r="BD43" i="37"/>
  <c r="BB43" i="37"/>
  <c r="AZ43" i="37"/>
  <c r="AX43" i="37"/>
  <c r="AV43" i="37"/>
  <c r="AT43" i="37"/>
  <c r="AR43" i="37"/>
  <c r="AP43" i="37"/>
  <c r="AN43" i="37"/>
  <c r="AL43" i="37"/>
  <c r="AJ43" i="37"/>
  <c r="AH43" i="37"/>
  <c r="AF43" i="37"/>
  <c r="AD43" i="37"/>
  <c r="AB43" i="37"/>
  <c r="Z43" i="37"/>
  <c r="X43" i="37"/>
  <c r="V43" i="37"/>
  <c r="T43" i="37"/>
  <c r="R43" i="37"/>
  <c r="P43" i="37"/>
  <c r="N43" i="37"/>
  <c r="L43" i="37"/>
  <c r="K43" i="37"/>
  <c r="BG42" i="37"/>
  <c r="BJ42" i="37" s="1"/>
  <c r="BF42" i="37"/>
  <c r="BD42" i="37"/>
  <c r="BB42" i="37"/>
  <c r="AZ42" i="37"/>
  <c r="AX42" i="37"/>
  <c r="AV42" i="37"/>
  <c r="AT42" i="37"/>
  <c r="AR42" i="37"/>
  <c r="AP42" i="37"/>
  <c r="AN42" i="37"/>
  <c r="AL42" i="37"/>
  <c r="AJ42" i="37"/>
  <c r="AH42" i="37"/>
  <c r="AF42" i="37"/>
  <c r="AD42" i="37"/>
  <c r="AB42" i="37"/>
  <c r="Z42" i="37"/>
  <c r="X42" i="37"/>
  <c r="V42" i="37"/>
  <c r="T42" i="37"/>
  <c r="R42" i="37"/>
  <c r="P42" i="37"/>
  <c r="N42" i="37"/>
  <c r="L42" i="37"/>
  <c r="K42" i="37"/>
  <c r="BG41" i="37"/>
  <c r="BJ41" i="37" s="1"/>
  <c r="BF41" i="37"/>
  <c r="BD41" i="37"/>
  <c r="BB41" i="37"/>
  <c r="AZ41" i="37"/>
  <c r="AX41" i="37"/>
  <c r="AV41" i="37"/>
  <c r="AT41" i="37"/>
  <c r="AR41" i="37"/>
  <c r="AP41" i="37"/>
  <c r="AN41" i="37"/>
  <c r="AL41" i="37"/>
  <c r="AJ41" i="37"/>
  <c r="AH41" i="37"/>
  <c r="AF41" i="37"/>
  <c r="AD41" i="37"/>
  <c r="AB41" i="37"/>
  <c r="Z41" i="37"/>
  <c r="X41" i="37"/>
  <c r="V41" i="37"/>
  <c r="T41" i="37"/>
  <c r="R41" i="37"/>
  <c r="P41" i="37"/>
  <c r="N41" i="37"/>
  <c r="L41" i="37"/>
  <c r="K41" i="37"/>
  <c r="BG40" i="37"/>
  <c r="BJ40" i="37" s="1"/>
  <c r="BF40" i="37"/>
  <c r="BD40" i="37"/>
  <c r="BB40" i="37"/>
  <c r="AZ40" i="37"/>
  <c r="AX40" i="37"/>
  <c r="AV40" i="37"/>
  <c r="AT40" i="37"/>
  <c r="AR40" i="37"/>
  <c r="AP40" i="37"/>
  <c r="AN40" i="37"/>
  <c r="AL40" i="37"/>
  <c r="AJ40" i="37"/>
  <c r="AH40" i="37"/>
  <c r="AF40" i="37"/>
  <c r="AD40" i="37"/>
  <c r="AB40" i="37"/>
  <c r="Z40" i="37"/>
  <c r="X40" i="37"/>
  <c r="V40" i="37"/>
  <c r="T40" i="37"/>
  <c r="R40" i="37"/>
  <c r="P40" i="37"/>
  <c r="N40" i="37"/>
  <c r="L40" i="37"/>
  <c r="K40" i="37"/>
  <c r="BG39" i="37"/>
  <c r="BJ39" i="37" s="1"/>
  <c r="BF39" i="37"/>
  <c r="BD39" i="37"/>
  <c r="BB39" i="37"/>
  <c r="AZ39" i="37"/>
  <c r="AX39" i="37"/>
  <c r="AV39" i="37"/>
  <c r="AT39" i="37"/>
  <c r="AR39" i="37"/>
  <c r="AP39" i="37"/>
  <c r="AN39" i="37"/>
  <c r="AL39" i="37"/>
  <c r="AJ39" i="37"/>
  <c r="AH39" i="37"/>
  <c r="AF39" i="37"/>
  <c r="AD39" i="37"/>
  <c r="AB39" i="37"/>
  <c r="Z39" i="37"/>
  <c r="X39" i="37"/>
  <c r="V39" i="37"/>
  <c r="T39" i="37"/>
  <c r="R39" i="37"/>
  <c r="P39" i="37"/>
  <c r="N39" i="37"/>
  <c r="L39" i="37"/>
  <c r="K39" i="37"/>
  <c r="BG38" i="37"/>
  <c r="BJ38" i="37" s="1"/>
  <c r="BF38" i="37"/>
  <c r="BD38" i="37"/>
  <c r="BB38" i="37"/>
  <c r="AZ38" i="37"/>
  <c r="AX38" i="37"/>
  <c r="AV38" i="37"/>
  <c r="AT38" i="37"/>
  <c r="AR38" i="37"/>
  <c r="AP38" i="37"/>
  <c r="AN38" i="37"/>
  <c r="AL38" i="37"/>
  <c r="AJ38" i="37"/>
  <c r="AH38" i="37"/>
  <c r="AF38" i="37"/>
  <c r="AD38" i="37"/>
  <c r="AB38" i="37"/>
  <c r="Z38" i="37"/>
  <c r="X38" i="37"/>
  <c r="V38" i="37"/>
  <c r="T38" i="37"/>
  <c r="R38" i="37"/>
  <c r="P38" i="37"/>
  <c r="N38" i="37"/>
  <c r="L38" i="37"/>
  <c r="K38" i="37"/>
  <c r="BG37" i="37"/>
  <c r="BJ37" i="37" s="1"/>
  <c r="BF37" i="37"/>
  <c r="BD37" i="37"/>
  <c r="BB37" i="37"/>
  <c r="AZ37" i="37"/>
  <c r="AX37" i="37"/>
  <c r="AV37" i="37"/>
  <c r="AT37" i="37"/>
  <c r="AR37" i="37"/>
  <c r="AP37" i="37"/>
  <c r="AN37" i="37"/>
  <c r="AL37" i="37"/>
  <c r="AJ37" i="37"/>
  <c r="AH37" i="37"/>
  <c r="AF37" i="37"/>
  <c r="AD37" i="37"/>
  <c r="AB37" i="37"/>
  <c r="Z37" i="37"/>
  <c r="X37" i="37"/>
  <c r="V37" i="37"/>
  <c r="T37" i="37"/>
  <c r="R37" i="37"/>
  <c r="P37" i="37"/>
  <c r="N37" i="37"/>
  <c r="L37" i="37"/>
  <c r="K37" i="37"/>
  <c r="BG36" i="37"/>
  <c r="BJ36" i="37" s="1"/>
  <c r="BF36" i="37"/>
  <c r="BD36" i="37"/>
  <c r="BB36" i="37"/>
  <c r="AZ36" i="37"/>
  <c r="AX36" i="37"/>
  <c r="AV36" i="37"/>
  <c r="AT36" i="37"/>
  <c r="AR36" i="37"/>
  <c r="AP36" i="37"/>
  <c r="AN36" i="37"/>
  <c r="AL36" i="37"/>
  <c r="AJ36" i="37"/>
  <c r="AH36" i="37"/>
  <c r="AF36" i="37"/>
  <c r="AD36" i="37"/>
  <c r="AB36" i="37"/>
  <c r="Z36" i="37"/>
  <c r="X36" i="37"/>
  <c r="V36" i="37"/>
  <c r="T36" i="37"/>
  <c r="R36" i="37"/>
  <c r="P36" i="37"/>
  <c r="N36" i="37"/>
  <c r="L36" i="37"/>
  <c r="K36" i="37"/>
  <c r="BG35" i="37"/>
  <c r="BJ35" i="37" s="1"/>
  <c r="BF35" i="37"/>
  <c r="BD35" i="37"/>
  <c r="BB35" i="37"/>
  <c r="AZ35" i="37"/>
  <c r="AX35" i="37"/>
  <c r="AV35" i="37"/>
  <c r="AT35" i="37"/>
  <c r="AR35" i="37"/>
  <c r="AP35" i="37"/>
  <c r="AN35" i="37"/>
  <c r="AL35" i="37"/>
  <c r="AJ35" i="37"/>
  <c r="AH35" i="37"/>
  <c r="AF35" i="37"/>
  <c r="AD35" i="37"/>
  <c r="AB35" i="37"/>
  <c r="Z35" i="37"/>
  <c r="X35" i="37"/>
  <c r="V35" i="37"/>
  <c r="T35" i="37"/>
  <c r="R35" i="37"/>
  <c r="P35" i="37"/>
  <c r="N35" i="37"/>
  <c r="L35" i="37"/>
  <c r="K35" i="37"/>
  <c r="BG34" i="37"/>
  <c r="BJ34" i="37" s="1"/>
  <c r="BF34" i="37"/>
  <c r="BD34" i="37"/>
  <c r="BB34" i="37"/>
  <c r="AZ34" i="37"/>
  <c r="AX34" i="37"/>
  <c r="AV34" i="37"/>
  <c r="AT34" i="37"/>
  <c r="AR34" i="37"/>
  <c r="AP34" i="37"/>
  <c r="AN34" i="37"/>
  <c r="AL34" i="37"/>
  <c r="AJ34" i="37"/>
  <c r="AH34" i="37"/>
  <c r="AF34" i="37"/>
  <c r="AD34" i="37"/>
  <c r="AB34" i="37"/>
  <c r="Z34" i="37"/>
  <c r="X34" i="37"/>
  <c r="V34" i="37"/>
  <c r="T34" i="37"/>
  <c r="R34" i="37"/>
  <c r="P34" i="37"/>
  <c r="N34" i="37"/>
  <c r="L34" i="37"/>
  <c r="K34" i="37"/>
  <c r="BG33" i="37"/>
  <c r="BJ33" i="37" s="1"/>
  <c r="BF33" i="37"/>
  <c r="BD33" i="37"/>
  <c r="BB33" i="37"/>
  <c r="AZ33" i="37"/>
  <c r="AX33" i="37"/>
  <c r="AV33" i="37"/>
  <c r="AT33" i="37"/>
  <c r="AR33" i="37"/>
  <c r="AP33" i="37"/>
  <c r="AN33" i="37"/>
  <c r="AL33" i="37"/>
  <c r="AJ33" i="37"/>
  <c r="AH33" i="37"/>
  <c r="AF33" i="37"/>
  <c r="AD33" i="37"/>
  <c r="AB33" i="37"/>
  <c r="Z33" i="37"/>
  <c r="X33" i="37"/>
  <c r="V33" i="37"/>
  <c r="T33" i="37"/>
  <c r="R33" i="37"/>
  <c r="P33" i="37"/>
  <c r="N33" i="37"/>
  <c r="L33" i="37"/>
  <c r="K33" i="37"/>
  <c r="BG32" i="37"/>
  <c r="BJ32" i="37" s="1"/>
  <c r="BF32" i="37"/>
  <c r="BD32" i="37"/>
  <c r="BB32" i="37"/>
  <c r="AZ32" i="37"/>
  <c r="AX32" i="37"/>
  <c r="AV32" i="37"/>
  <c r="AT32" i="37"/>
  <c r="AR32" i="37"/>
  <c r="AP32" i="37"/>
  <c r="AN32" i="37"/>
  <c r="AL32" i="37"/>
  <c r="AJ32" i="37"/>
  <c r="AH32" i="37"/>
  <c r="AF32" i="37"/>
  <c r="AD32" i="37"/>
  <c r="AB32" i="37"/>
  <c r="Z32" i="37"/>
  <c r="X32" i="37"/>
  <c r="V32" i="37"/>
  <c r="T32" i="37"/>
  <c r="R32" i="37"/>
  <c r="P32" i="37"/>
  <c r="N32" i="37"/>
  <c r="L32" i="37"/>
  <c r="K32" i="37"/>
  <c r="BG31" i="37"/>
  <c r="BJ31" i="37" s="1"/>
  <c r="BF31" i="37"/>
  <c r="BD31" i="37"/>
  <c r="BB31" i="37"/>
  <c r="AZ31" i="37"/>
  <c r="AX31" i="37"/>
  <c r="AV31" i="37"/>
  <c r="AT31" i="37"/>
  <c r="AR31" i="37"/>
  <c r="AP31" i="37"/>
  <c r="AN31" i="37"/>
  <c r="AL31" i="37"/>
  <c r="AJ31" i="37"/>
  <c r="AH31" i="37"/>
  <c r="AF31" i="37"/>
  <c r="AD31" i="37"/>
  <c r="AB31" i="37"/>
  <c r="Z31" i="37"/>
  <c r="X31" i="37"/>
  <c r="V31" i="37"/>
  <c r="T31" i="37"/>
  <c r="R31" i="37"/>
  <c r="P31" i="37"/>
  <c r="N31" i="37"/>
  <c r="L31" i="37"/>
  <c r="K31" i="37"/>
  <c r="BG30" i="37"/>
  <c r="BJ30" i="37" s="1"/>
  <c r="BF30" i="37"/>
  <c r="BD30" i="37"/>
  <c r="BB30" i="37"/>
  <c r="AZ30" i="37"/>
  <c r="AX30" i="37"/>
  <c r="AV30" i="37"/>
  <c r="AT30" i="37"/>
  <c r="AR30" i="37"/>
  <c r="AP30" i="37"/>
  <c r="AN30" i="37"/>
  <c r="AL30" i="37"/>
  <c r="AJ30" i="37"/>
  <c r="AH30" i="37"/>
  <c r="AF30" i="37"/>
  <c r="AD30" i="37"/>
  <c r="AB30" i="37"/>
  <c r="Z30" i="37"/>
  <c r="X30" i="37"/>
  <c r="V30" i="37"/>
  <c r="T30" i="37"/>
  <c r="R30" i="37"/>
  <c r="P30" i="37"/>
  <c r="N30" i="37"/>
  <c r="L30" i="37"/>
  <c r="K30" i="37"/>
  <c r="BG29" i="37"/>
  <c r="BJ29" i="37" s="1"/>
  <c r="BF29" i="37"/>
  <c r="BD29" i="37"/>
  <c r="BB29" i="37"/>
  <c r="AZ29" i="37"/>
  <c r="AX29" i="37"/>
  <c r="AV29" i="37"/>
  <c r="AT29" i="37"/>
  <c r="AR29" i="37"/>
  <c r="AP29" i="37"/>
  <c r="AN29" i="37"/>
  <c r="AL29" i="37"/>
  <c r="AJ29" i="37"/>
  <c r="AH29" i="37"/>
  <c r="AF29" i="37"/>
  <c r="AD29" i="37"/>
  <c r="AB29" i="37"/>
  <c r="Z29" i="37"/>
  <c r="X29" i="37"/>
  <c r="V29" i="37"/>
  <c r="T29" i="37"/>
  <c r="R29" i="37"/>
  <c r="P29" i="37"/>
  <c r="N29" i="37"/>
  <c r="L29" i="37"/>
  <c r="K29" i="37"/>
  <c r="BG28" i="37"/>
  <c r="BJ28" i="37" s="1"/>
  <c r="BF28" i="37"/>
  <c r="BD28" i="37"/>
  <c r="BB28" i="37"/>
  <c r="AZ28" i="37"/>
  <c r="AX28" i="37"/>
  <c r="AV28" i="37"/>
  <c r="AT28" i="37"/>
  <c r="AR28" i="37"/>
  <c r="AP28" i="37"/>
  <c r="AN28" i="37"/>
  <c r="AL28" i="37"/>
  <c r="AJ28" i="37"/>
  <c r="AH28" i="37"/>
  <c r="AF28" i="37"/>
  <c r="AD28" i="37"/>
  <c r="AB28" i="37"/>
  <c r="Z28" i="37"/>
  <c r="X28" i="37"/>
  <c r="V28" i="37"/>
  <c r="T28" i="37"/>
  <c r="R28" i="37"/>
  <c r="P28" i="37"/>
  <c r="N28" i="37"/>
  <c r="L28" i="37"/>
  <c r="K28" i="37"/>
  <c r="BG27" i="37"/>
  <c r="BJ27" i="37" s="1"/>
  <c r="BF27" i="37"/>
  <c r="BD27" i="37"/>
  <c r="BB27" i="37"/>
  <c r="AZ27" i="37"/>
  <c r="AX27" i="37"/>
  <c r="AV27" i="37"/>
  <c r="AT27" i="37"/>
  <c r="AR27" i="37"/>
  <c r="AP27" i="37"/>
  <c r="AN27" i="37"/>
  <c r="AL27" i="37"/>
  <c r="AJ27" i="37"/>
  <c r="AH27" i="37"/>
  <c r="AF27" i="37"/>
  <c r="AD27" i="37"/>
  <c r="AB27" i="37"/>
  <c r="Z27" i="37"/>
  <c r="X27" i="37"/>
  <c r="V27" i="37"/>
  <c r="T27" i="37"/>
  <c r="R27" i="37"/>
  <c r="P27" i="37"/>
  <c r="N27" i="37"/>
  <c r="L27" i="37"/>
  <c r="K27" i="37"/>
  <c r="BG26" i="37"/>
  <c r="BJ26" i="37" s="1"/>
  <c r="BF26" i="37"/>
  <c r="BD26" i="37"/>
  <c r="BB26" i="37"/>
  <c r="AZ26" i="37"/>
  <c r="AX26" i="37"/>
  <c r="AV26" i="37"/>
  <c r="AT26" i="37"/>
  <c r="AR26" i="37"/>
  <c r="AP26" i="37"/>
  <c r="AN26" i="37"/>
  <c r="AL26" i="37"/>
  <c r="AJ26" i="37"/>
  <c r="AH26" i="37"/>
  <c r="AF26" i="37"/>
  <c r="AD26" i="37"/>
  <c r="AB26" i="37"/>
  <c r="Z26" i="37"/>
  <c r="X26" i="37"/>
  <c r="V26" i="37"/>
  <c r="T26" i="37"/>
  <c r="R26" i="37"/>
  <c r="P26" i="37"/>
  <c r="N26" i="37"/>
  <c r="L26" i="37"/>
  <c r="K26" i="37"/>
  <c r="BG25" i="37"/>
  <c r="BJ25" i="37" s="1"/>
  <c r="BF25" i="37"/>
  <c r="BD25" i="37"/>
  <c r="BB25" i="37"/>
  <c r="AZ25" i="37"/>
  <c r="AX25" i="37"/>
  <c r="AV25" i="37"/>
  <c r="AT25" i="37"/>
  <c r="AR25" i="37"/>
  <c r="AP25" i="37"/>
  <c r="AN25" i="37"/>
  <c r="AL25" i="37"/>
  <c r="AJ25" i="37"/>
  <c r="AH25" i="37"/>
  <c r="AF25" i="37"/>
  <c r="AD25" i="37"/>
  <c r="AB25" i="37"/>
  <c r="Z25" i="37"/>
  <c r="X25" i="37"/>
  <c r="V25" i="37"/>
  <c r="T25" i="37"/>
  <c r="R25" i="37"/>
  <c r="P25" i="37"/>
  <c r="N25" i="37"/>
  <c r="L25" i="37"/>
  <c r="K25" i="37"/>
  <c r="BG24" i="37"/>
  <c r="BJ24" i="37" s="1"/>
  <c r="BF24" i="37"/>
  <c r="BD24" i="37"/>
  <c r="BB24" i="37"/>
  <c r="AZ24" i="37"/>
  <c r="AX24" i="37"/>
  <c r="AV24" i="37"/>
  <c r="AT24" i="37"/>
  <c r="AR24" i="37"/>
  <c r="AP24" i="37"/>
  <c r="AN24" i="37"/>
  <c r="AL24" i="37"/>
  <c r="AJ24" i="37"/>
  <c r="AH24" i="37"/>
  <c r="AF24" i="37"/>
  <c r="AD24" i="37"/>
  <c r="AB24" i="37"/>
  <c r="Z24" i="37"/>
  <c r="X24" i="37"/>
  <c r="V24" i="37"/>
  <c r="T24" i="37"/>
  <c r="R24" i="37"/>
  <c r="P24" i="37"/>
  <c r="N24" i="37"/>
  <c r="L24" i="37"/>
  <c r="K24" i="37"/>
  <c r="BG23" i="37"/>
  <c r="BJ23" i="37" s="1"/>
  <c r="BF23" i="37"/>
  <c r="BD23" i="37"/>
  <c r="BB23" i="37"/>
  <c r="AZ23" i="37"/>
  <c r="AX23" i="37"/>
  <c r="AV23" i="37"/>
  <c r="AT23" i="37"/>
  <c r="AR23" i="37"/>
  <c r="AP23" i="37"/>
  <c r="AN23" i="37"/>
  <c r="AL23" i="37"/>
  <c r="AJ23" i="37"/>
  <c r="AH23" i="37"/>
  <c r="AF23" i="37"/>
  <c r="AD23" i="37"/>
  <c r="AB23" i="37"/>
  <c r="Z23" i="37"/>
  <c r="X23" i="37"/>
  <c r="V23" i="37"/>
  <c r="T23" i="37"/>
  <c r="R23" i="37"/>
  <c r="P23" i="37"/>
  <c r="N23" i="37"/>
  <c r="L23" i="37"/>
  <c r="K23" i="37"/>
  <c r="BG22" i="37"/>
  <c r="BJ22" i="37" s="1"/>
  <c r="BF22" i="37"/>
  <c r="BD22" i="37"/>
  <c r="BB22" i="37"/>
  <c r="AZ22" i="37"/>
  <c r="AX22" i="37"/>
  <c r="AV22" i="37"/>
  <c r="AT22" i="37"/>
  <c r="AR22" i="37"/>
  <c r="AP22" i="37"/>
  <c r="AN22" i="37"/>
  <c r="AL22" i="37"/>
  <c r="AJ22" i="37"/>
  <c r="AH22" i="37"/>
  <c r="AF22" i="37"/>
  <c r="AD22" i="37"/>
  <c r="AB22" i="37"/>
  <c r="Z22" i="37"/>
  <c r="X22" i="37"/>
  <c r="V22" i="37"/>
  <c r="T22" i="37"/>
  <c r="R22" i="37"/>
  <c r="P22" i="37"/>
  <c r="N22" i="37"/>
  <c r="L22" i="37"/>
  <c r="K22" i="37"/>
  <c r="BG21" i="37"/>
  <c r="BJ21" i="37" s="1"/>
  <c r="BF21" i="37"/>
  <c r="BD21" i="37"/>
  <c r="BB21" i="37"/>
  <c r="AZ21" i="37"/>
  <c r="AX21" i="37"/>
  <c r="AV21" i="37"/>
  <c r="AT21" i="37"/>
  <c r="AR21" i="37"/>
  <c r="AP21" i="37"/>
  <c r="AN21" i="37"/>
  <c r="AL21" i="37"/>
  <c r="AJ21" i="37"/>
  <c r="AH21" i="37"/>
  <c r="AF21" i="37"/>
  <c r="AD21" i="37"/>
  <c r="AB21" i="37"/>
  <c r="Z21" i="37"/>
  <c r="X21" i="37"/>
  <c r="V21" i="37"/>
  <c r="T21" i="37"/>
  <c r="R21" i="37"/>
  <c r="P21" i="37"/>
  <c r="N21" i="37"/>
  <c r="L21" i="37"/>
  <c r="K21" i="37"/>
  <c r="BG20" i="37"/>
  <c r="BJ20" i="37" s="1"/>
  <c r="BF20" i="37"/>
  <c r="BD20" i="37"/>
  <c r="BB20" i="37"/>
  <c r="AZ20" i="37"/>
  <c r="AX20" i="37"/>
  <c r="AV20" i="37"/>
  <c r="AT20" i="37"/>
  <c r="AR20" i="37"/>
  <c r="AP20" i="37"/>
  <c r="AN20" i="37"/>
  <c r="AL20" i="37"/>
  <c r="AJ20" i="37"/>
  <c r="AH20" i="37"/>
  <c r="AF20" i="37"/>
  <c r="AD20" i="37"/>
  <c r="AB20" i="37"/>
  <c r="Z20" i="37"/>
  <c r="X20" i="37"/>
  <c r="V20" i="37"/>
  <c r="T20" i="37"/>
  <c r="R20" i="37"/>
  <c r="P20" i="37"/>
  <c r="N20" i="37"/>
  <c r="L20" i="37"/>
  <c r="K20" i="37"/>
  <c r="BG19" i="37"/>
  <c r="BJ19" i="37" s="1"/>
  <c r="BF19" i="37"/>
  <c r="BD19" i="37"/>
  <c r="BB19" i="37"/>
  <c r="AZ19" i="37"/>
  <c r="AX19" i="37"/>
  <c r="AV19" i="37"/>
  <c r="AT19" i="37"/>
  <c r="AR19" i="37"/>
  <c r="AP19" i="37"/>
  <c r="AN19" i="37"/>
  <c r="AL19" i="37"/>
  <c r="AJ19" i="37"/>
  <c r="AH19" i="37"/>
  <c r="AF19" i="37"/>
  <c r="AD19" i="37"/>
  <c r="AB19" i="37"/>
  <c r="Z19" i="37"/>
  <c r="X19" i="37"/>
  <c r="V19" i="37"/>
  <c r="T19" i="37"/>
  <c r="R19" i="37"/>
  <c r="P19" i="37"/>
  <c r="N19" i="37"/>
  <c r="L19" i="37"/>
  <c r="K19" i="37"/>
  <c r="BG18" i="37"/>
  <c r="BJ18" i="37" s="1"/>
  <c r="BF18" i="37"/>
  <c r="BD18" i="37"/>
  <c r="BB18" i="37"/>
  <c r="AZ18" i="37"/>
  <c r="AX18" i="37"/>
  <c r="AV18" i="37"/>
  <c r="AT18" i="37"/>
  <c r="AR18" i="37"/>
  <c r="AP18" i="37"/>
  <c r="AN18" i="37"/>
  <c r="AL18" i="37"/>
  <c r="AJ18" i="37"/>
  <c r="AH18" i="37"/>
  <c r="AF18" i="37"/>
  <c r="AD18" i="37"/>
  <c r="AB18" i="37"/>
  <c r="Z18" i="37"/>
  <c r="X18" i="37"/>
  <c r="V18" i="37"/>
  <c r="T18" i="37"/>
  <c r="R18" i="37"/>
  <c r="P18" i="37"/>
  <c r="N18" i="37"/>
  <c r="L18" i="37"/>
  <c r="K18" i="37"/>
  <c r="BG17" i="37"/>
  <c r="BJ17" i="37" s="1"/>
  <c r="BF17" i="37"/>
  <c r="BD17" i="37"/>
  <c r="BB17" i="37"/>
  <c r="AZ17" i="37"/>
  <c r="AX17" i="37"/>
  <c r="AV17" i="37"/>
  <c r="AT17" i="37"/>
  <c r="AR17" i="37"/>
  <c r="AP17" i="37"/>
  <c r="AN17" i="37"/>
  <c r="AL17" i="37"/>
  <c r="AJ17" i="37"/>
  <c r="AH17" i="37"/>
  <c r="AF17" i="37"/>
  <c r="AD17" i="37"/>
  <c r="AB17" i="37"/>
  <c r="Z17" i="37"/>
  <c r="X17" i="37"/>
  <c r="V17" i="37"/>
  <c r="T17" i="37"/>
  <c r="R17" i="37"/>
  <c r="P17" i="37"/>
  <c r="N17" i="37"/>
  <c r="L17" i="37"/>
  <c r="K17" i="37"/>
  <c r="BG16" i="37"/>
  <c r="BJ16" i="37" s="1"/>
  <c r="BF16" i="37"/>
  <c r="BD16" i="37"/>
  <c r="BB16" i="37"/>
  <c r="AZ16" i="37"/>
  <c r="AX16" i="37"/>
  <c r="AV16" i="37"/>
  <c r="AT16" i="37"/>
  <c r="AR16" i="37"/>
  <c r="AP16" i="37"/>
  <c r="AN16" i="37"/>
  <c r="AL16" i="37"/>
  <c r="AJ16" i="37"/>
  <c r="AH16" i="37"/>
  <c r="AF16" i="37"/>
  <c r="AD16" i="37"/>
  <c r="AB16" i="37"/>
  <c r="Z16" i="37"/>
  <c r="X16" i="37"/>
  <c r="V16" i="37"/>
  <c r="T16" i="37"/>
  <c r="R16" i="37"/>
  <c r="P16" i="37"/>
  <c r="N16" i="37"/>
  <c r="L16" i="37"/>
  <c r="K16" i="37"/>
  <c r="BG15" i="37"/>
  <c r="BJ15" i="37" s="1"/>
  <c r="BF15" i="37"/>
  <c r="BD15" i="37"/>
  <c r="BB15" i="37"/>
  <c r="AZ15" i="37"/>
  <c r="AX15" i="37"/>
  <c r="AV15" i="37"/>
  <c r="AT15" i="37"/>
  <c r="AR15" i="37"/>
  <c r="AP15" i="37"/>
  <c r="AN15" i="37"/>
  <c r="AL15" i="37"/>
  <c r="AJ15" i="37"/>
  <c r="AH15" i="37"/>
  <c r="AF15" i="37"/>
  <c r="AD15" i="37"/>
  <c r="AB15" i="37"/>
  <c r="Z15" i="37"/>
  <c r="X15" i="37"/>
  <c r="V15" i="37"/>
  <c r="T15" i="37"/>
  <c r="R15" i="37"/>
  <c r="P15" i="37"/>
  <c r="N15" i="37"/>
  <c r="L15" i="37"/>
  <c r="K15" i="37"/>
  <c r="BG14" i="37"/>
  <c r="BJ14" i="37" s="1"/>
  <c r="BF14" i="37"/>
  <c r="BD14" i="37"/>
  <c r="BB14" i="37"/>
  <c r="AZ14" i="37"/>
  <c r="AX14" i="37"/>
  <c r="AV14" i="37"/>
  <c r="AT14" i="37"/>
  <c r="AR14" i="37"/>
  <c r="AP14" i="37"/>
  <c r="AN14" i="37"/>
  <c r="AL14" i="37"/>
  <c r="AJ14" i="37"/>
  <c r="AH14" i="37"/>
  <c r="AF14" i="37"/>
  <c r="AD14" i="37"/>
  <c r="AB14" i="37"/>
  <c r="Z14" i="37"/>
  <c r="X14" i="37"/>
  <c r="V14" i="37"/>
  <c r="T14" i="37"/>
  <c r="R14" i="37"/>
  <c r="P14" i="37"/>
  <c r="N14" i="37"/>
  <c r="L14" i="37"/>
  <c r="K14" i="37"/>
  <c r="BK13" i="37"/>
  <c r="BJ13" i="37"/>
  <c r="BH13" i="37"/>
  <c r="BG13" i="37"/>
  <c r="BF13" i="37"/>
  <c r="BD13" i="37"/>
  <c r="BB13" i="37"/>
  <c r="AZ13" i="37"/>
  <c r="AX13" i="37"/>
  <c r="AV13" i="37"/>
  <c r="AT13" i="37"/>
  <c r="AR13" i="37"/>
  <c r="AP13" i="37"/>
  <c r="AN13" i="37"/>
  <c r="AL13" i="37"/>
  <c r="AJ13" i="37"/>
  <c r="AH13" i="37"/>
  <c r="AF13" i="37"/>
  <c r="AD13" i="37"/>
  <c r="AB13" i="37"/>
  <c r="Z13" i="37"/>
  <c r="X13" i="37"/>
  <c r="V13" i="37"/>
  <c r="T13" i="37"/>
  <c r="R13" i="37"/>
  <c r="P13" i="37"/>
  <c r="N13" i="37"/>
  <c r="L13" i="37"/>
  <c r="K13" i="37"/>
  <c r="BK12" i="37"/>
  <c r="BJ12" i="37"/>
  <c r="BH12" i="37"/>
  <c r="BG12" i="37"/>
  <c r="BF12" i="37"/>
  <c r="BD12" i="37"/>
  <c r="BB12" i="37"/>
  <c r="AZ12" i="37"/>
  <c r="AX12" i="37"/>
  <c r="AV12" i="37"/>
  <c r="AT12" i="37"/>
  <c r="AR12" i="37"/>
  <c r="AP12" i="37"/>
  <c r="AN12" i="37"/>
  <c r="AL12" i="37"/>
  <c r="AJ12" i="37"/>
  <c r="AH12" i="37"/>
  <c r="AF12" i="37"/>
  <c r="AD12" i="37"/>
  <c r="AB12" i="37"/>
  <c r="Z12" i="37"/>
  <c r="X12" i="37"/>
  <c r="V12" i="37"/>
  <c r="T12" i="37"/>
  <c r="R12" i="37"/>
  <c r="P12" i="37"/>
  <c r="N12" i="37"/>
  <c r="L12" i="37"/>
  <c r="K12" i="37"/>
  <c r="BH8" i="37"/>
  <c r="J85" i="37"/>
  <c r="J70" i="37"/>
  <c r="J13" i="37"/>
  <c r="O14" i="36"/>
  <c r="N14" i="36"/>
  <c r="L14" i="36"/>
  <c r="K14" i="36"/>
  <c r="O13" i="36"/>
  <c r="N13" i="36"/>
  <c r="L13" i="36"/>
  <c r="K13" i="36"/>
  <c r="O12" i="36"/>
  <c r="N12" i="36"/>
  <c r="L12" i="36"/>
  <c r="K12" i="36"/>
  <c r="L8" i="36"/>
  <c r="J14" i="36"/>
  <c r="J13" i="36" s="1"/>
  <c r="J12" i="36" s="1"/>
  <c r="J31" i="36" s="1"/>
  <c r="O14" i="35"/>
  <c r="N14" i="35"/>
  <c r="L14" i="35"/>
  <c r="K14" i="35"/>
  <c r="O13" i="35"/>
  <c r="N13" i="35"/>
  <c r="L13" i="35"/>
  <c r="K13" i="35"/>
  <c r="O12" i="35"/>
  <c r="N12" i="35"/>
  <c r="L12" i="35"/>
  <c r="K12" i="35"/>
  <c r="L8" i="35"/>
  <c r="J73" i="35"/>
  <c r="J70" i="35"/>
  <c r="J66" i="35"/>
  <c r="J61" i="35"/>
  <c r="J48" i="35"/>
  <c r="J41" i="35"/>
  <c r="J39" i="35"/>
  <c r="J14" i="35"/>
  <c r="BL25" i="39" l="1"/>
  <c r="BL18" i="39"/>
  <c r="BL15" i="39"/>
  <c r="BL23" i="39"/>
  <c r="BM23" i="39" s="1"/>
  <c r="BL31" i="39"/>
  <c r="BL16" i="39"/>
  <c r="BL24" i="39"/>
  <c r="BL17" i="39"/>
  <c r="BL26" i="39"/>
  <c r="BL19" i="39"/>
  <c r="BM19" i="39" s="1"/>
  <c r="BL27" i="39"/>
  <c r="BL20" i="39"/>
  <c r="BO20" i="39" s="1"/>
  <c r="BP20" i="39" s="1"/>
  <c r="BL28" i="39"/>
  <c r="BL21" i="39"/>
  <c r="BL29" i="39"/>
  <c r="BL22" i="39"/>
  <c r="BL30" i="39"/>
  <c r="BM16" i="39"/>
  <c r="BO27" i="39"/>
  <c r="Z33" i="39"/>
  <c r="AH33" i="39"/>
  <c r="T33" i="39"/>
  <c r="AB33" i="39"/>
  <c r="AJ33" i="39"/>
  <c r="V33" i="39"/>
  <c r="AD33" i="39"/>
  <c r="X33" i="39"/>
  <c r="AF33" i="39"/>
  <c r="L33" i="39"/>
  <c r="BH20" i="38"/>
  <c r="BH72" i="37"/>
  <c r="BK72" i="37" s="1"/>
  <c r="BH90" i="37"/>
  <c r="BK90" i="37" s="1"/>
  <c r="V93" i="37"/>
  <c r="AL93" i="37"/>
  <c r="BB93" i="37"/>
  <c r="BH15" i="37"/>
  <c r="BK15" i="37" s="1"/>
  <c r="BH31" i="37"/>
  <c r="BK31" i="37" s="1"/>
  <c r="BH47" i="37"/>
  <c r="BK47" i="37" s="1"/>
  <c r="BH60" i="37"/>
  <c r="BK60" i="37" s="1"/>
  <c r="BH78" i="37"/>
  <c r="BK78" i="37" s="1"/>
  <c r="BH23" i="38"/>
  <c r="BK23" i="38" s="1"/>
  <c r="BL23" i="38" s="1"/>
  <c r="BH25" i="37"/>
  <c r="BK25" i="37" s="1"/>
  <c r="BH28" i="37"/>
  <c r="BK28" i="37" s="1"/>
  <c r="BH41" i="37"/>
  <c r="BK41" i="37" s="1"/>
  <c r="BH44" i="37"/>
  <c r="BK44" i="37" s="1"/>
  <c r="BH57" i="37"/>
  <c r="BK57" i="37" s="1"/>
  <c r="BH75" i="37"/>
  <c r="BK75" i="37" s="1"/>
  <c r="P25" i="38"/>
  <c r="AF25" i="38"/>
  <c r="AV25" i="38"/>
  <c r="BH63" i="37"/>
  <c r="BK63" i="37" s="1"/>
  <c r="BH87" i="37"/>
  <c r="BK87" i="37" s="1"/>
  <c r="AZ33" i="39"/>
  <c r="BI85" i="37"/>
  <c r="BL85" i="37"/>
  <c r="X93" i="37"/>
  <c r="AN93" i="37"/>
  <c r="BD93" i="37"/>
  <c r="BH22" i="37"/>
  <c r="BK22" i="37" s="1"/>
  <c r="BH38" i="37"/>
  <c r="BK38" i="37" s="1"/>
  <c r="BH54" i="37"/>
  <c r="BK54" i="37" s="1"/>
  <c r="R25" i="38"/>
  <c r="AH25" i="38"/>
  <c r="AX25" i="38"/>
  <c r="AL33" i="39"/>
  <c r="BB33" i="39"/>
  <c r="Z93" i="37"/>
  <c r="AP93" i="37"/>
  <c r="BF93" i="37"/>
  <c r="BH16" i="37"/>
  <c r="BK16" i="37" s="1"/>
  <c r="BH19" i="37"/>
  <c r="BK19" i="37" s="1"/>
  <c r="BH29" i="37"/>
  <c r="BK29" i="37" s="1"/>
  <c r="BH32" i="37"/>
  <c r="BK32" i="37" s="1"/>
  <c r="BH35" i="37"/>
  <c r="BK35" i="37" s="1"/>
  <c r="BH45" i="37"/>
  <c r="BK45" i="37" s="1"/>
  <c r="BH48" i="37"/>
  <c r="BK48" i="37" s="1"/>
  <c r="BH51" i="37"/>
  <c r="BK51" i="37" s="1"/>
  <c r="BH61" i="37"/>
  <c r="BK61" i="37" s="1"/>
  <c r="BH64" i="37"/>
  <c r="BK64" i="37" s="1"/>
  <c r="BH67" i="37"/>
  <c r="BK67" i="37" s="1"/>
  <c r="BH76" i="37"/>
  <c r="BK76" i="37" s="1"/>
  <c r="BH79" i="37"/>
  <c r="BK79" i="37" s="1"/>
  <c r="BH82" i="37"/>
  <c r="BK82" i="37" s="1"/>
  <c r="BH88" i="37"/>
  <c r="BK88" i="37" s="1"/>
  <c r="BH91" i="37"/>
  <c r="BK91" i="37" s="1"/>
  <c r="T25" i="38"/>
  <c r="AJ25" i="38"/>
  <c r="AZ25" i="38"/>
  <c r="BH17" i="38"/>
  <c r="AN33" i="39"/>
  <c r="BD33" i="39"/>
  <c r="BO19" i="39"/>
  <c r="BP19" i="39" s="1"/>
  <c r="L93" i="37"/>
  <c r="AB93" i="37"/>
  <c r="AR93" i="37"/>
  <c r="BH26" i="37"/>
  <c r="BK26" i="37" s="1"/>
  <c r="BH42" i="37"/>
  <c r="BK42" i="37" s="1"/>
  <c r="BH58" i="37"/>
  <c r="BK58" i="37" s="1"/>
  <c r="BH73" i="37"/>
  <c r="BK73" i="37" s="1"/>
  <c r="V25" i="38"/>
  <c r="AL25" i="38"/>
  <c r="BB25" i="38"/>
  <c r="BH21" i="38"/>
  <c r="AP33" i="39"/>
  <c r="BF33" i="39"/>
  <c r="N93" i="37"/>
  <c r="AD93" i="37"/>
  <c r="AT93" i="37"/>
  <c r="BH17" i="37"/>
  <c r="BK17" i="37" s="1"/>
  <c r="BH20" i="37"/>
  <c r="BK20" i="37" s="1"/>
  <c r="BH23" i="37"/>
  <c r="BK23" i="37" s="1"/>
  <c r="BH33" i="37"/>
  <c r="BK33" i="37" s="1"/>
  <c r="BH36" i="37"/>
  <c r="BK36" i="37" s="1"/>
  <c r="BH39" i="37"/>
  <c r="BK39" i="37" s="1"/>
  <c r="BH49" i="37"/>
  <c r="BK49" i="37" s="1"/>
  <c r="BH52" i="37"/>
  <c r="BK52" i="37" s="1"/>
  <c r="BH55" i="37"/>
  <c r="BK55" i="37" s="1"/>
  <c r="BH65" i="37"/>
  <c r="BK65" i="37" s="1"/>
  <c r="BH68" i="37"/>
  <c r="BK68" i="37" s="1"/>
  <c r="BH80" i="37"/>
  <c r="BK80" i="37" s="1"/>
  <c r="BH83" i="37"/>
  <c r="BK83" i="37" s="1"/>
  <c r="X25" i="38"/>
  <c r="AN25" i="38"/>
  <c r="BD25" i="38"/>
  <c r="AR33" i="39"/>
  <c r="BO25" i="39"/>
  <c r="BP25" i="39" s="1"/>
  <c r="P93" i="37"/>
  <c r="AF93" i="37"/>
  <c r="AV93" i="37"/>
  <c r="BH30" i="37"/>
  <c r="BK30" i="37" s="1"/>
  <c r="BH46" i="37"/>
  <c r="BK46" i="37" s="1"/>
  <c r="BH62" i="37"/>
  <c r="BK62" i="37" s="1"/>
  <c r="BH77" i="37"/>
  <c r="BK77" i="37" s="1"/>
  <c r="BH89" i="37"/>
  <c r="BK89" i="37" s="1"/>
  <c r="Z25" i="38"/>
  <c r="AP25" i="38"/>
  <c r="BF25" i="38"/>
  <c r="BH18" i="38"/>
  <c r="N33" i="39"/>
  <c r="AT33" i="39"/>
  <c r="BO21" i="39"/>
  <c r="BP21" i="39" s="1"/>
  <c r="BO30" i="39"/>
  <c r="BP30" i="39" s="1"/>
  <c r="BK20" i="38"/>
  <c r="BL20" i="38" s="1"/>
  <c r="BI20" i="38"/>
  <c r="J72" i="35"/>
  <c r="J13" i="35"/>
  <c r="R93" i="37"/>
  <c r="AH93" i="37"/>
  <c r="AX93" i="37"/>
  <c r="BH14" i="37"/>
  <c r="BK14" i="37" s="1"/>
  <c r="BH21" i="37"/>
  <c r="BK21" i="37" s="1"/>
  <c r="BH24" i="37"/>
  <c r="BK24" i="37" s="1"/>
  <c r="BH27" i="37"/>
  <c r="BK27" i="37" s="1"/>
  <c r="BH37" i="37"/>
  <c r="BK37" i="37" s="1"/>
  <c r="BH40" i="37"/>
  <c r="BK40" i="37" s="1"/>
  <c r="BH43" i="37"/>
  <c r="BK43" i="37" s="1"/>
  <c r="BH53" i="37"/>
  <c r="BK53" i="37" s="1"/>
  <c r="BH56" i="37"/>
  <c r="BK56" i="37" s="1"/>
  <c r="BH59" i="37"/>
  <c r="BK59" i="37" s="1"/>
  <c r="BH69" i="37"/>
  <c r="BK69" i="37" s="1"/>
  <c r="BH71" i="37"/>
  <c r="BK71" i="37" s="1"/>
  <c r="BH74" i="37"/>
  <c r="BK74" i="37" s="1"/>
  <c r="BH84" i="37"/>
  <c r="BK84" i="37" s="1"/>
  <c r="BH86" i="37"/>
  <c r="BK86" i="37" s="1"/>
  <c r="L25" i="38"/>
  <c r="AB25" i="38"/>
  <c r="AR25" i="38"/>
  <c r="BH15" i="38"/>
  <c r="BH22" i="38"/>
  <c r="P33" i="39"/>
  <c r="AV33" i="39"/>
  <c r="BO26" i="39"/>
  <c r="BP26" i="39" s="1"/>
  <c r="J12" i="37"/>
  <c r="J93" i="37" s="1"/>
  <c r="BI70" i="37"/>
  <c r="BL70" i="37"/>
  <c r="T93" i="37"/>
  <c r="AJ93" i="37"/>
  <c r="AZ93" i="37"/>
  <c r="BH18" i="37"/>
  <c r="BK18" i="37" s="1"/>
  <c r="BH34" i="37"/>
  <c r="BK34" i="37" s="1"/>
  <c r="BH50" i="37"/>
  <c r="BK50" i="37" s="1"/>
  <c r="BH66" i="37"/>
  <c r="BK66" i="37" s="1"/>
  <c r="BH81" i="37"/>
  <c r="BK81" i="37" s="1"/>
  <c r="N25" i="38"/>
  <c r="AD25" i="38"/>
  <c r="AT25" i="38"/>
  <c r="BH16" i="38"/>
  <c r="BH19" i="38"/>
  <c r="R33" i="39"/>
  <c r="AX33" i="39"/>
  <c r="O14" i="34"/>
  <c r="N14" i="34"/>
  <c r="L14" i="34"/>
  <c r="K14" i="34"/>
  <c r="O13" i="34"/>
  <c r="N13" i="34"/>
  <c r="L13" i="34"/>
  <c r="K13" i="34"/>
  <c r="O12" i="34"/>
  <c r="N12" i="34"/>
  <c r="L12" i="34"/>
  <c r="K12" i="34"/>
  <c r="L8" i="34"/>
  <c r="J50" i="34"/>
  <c r="J46" i="34"/>
  <c r="J44" i="34"/>
  <c r="J40" i="34"/>
  <c r="J36" i="34"/>
  <c r="J31" i="34"/>
  <c r="J14" i="34"/>
  <c r="O14" i="33"/>
  <c r="N14" i="33"/>
  <c r="L14" i="33"/>
  <c r="K14" i="33"/>
  <c r="O13" i="33"/>
  <c r="N13" i="33"/>
  <c r="L13" i="33"/>
  <c r="K13" i="33"/>
  <c r="O12" i="33"/>
  <c r="N12" i="33"/>
  <c r="L12" i="33"/>
  <c r="K12" i="33"/>
  <c r="L8" i="33"/>
  <c r="J80" i="33"/>
  <c r="J75" i="33"/>
  <c r="J72" i="33"/>
  <c r="J64" i="33"/>
  <c r="J52" i="33"/>
  <c r="J49" i="33"/>
  <c r="J46" i="33"/>
  <c r="J14" i="33"/>
  <c r="O14" i="32"/>
  <c r="N14" i="32"/>
  <c r="L14" i="32"/>
  <c r="K14" i="32"/>
  <c r="O13" i="32"/>
  <c r="N13" i="32"/>
  <c r="L13" i="32"/>
  <c r="K13" i="32"/>
  <c r="O12" i="32"/>
  <c r="N12" i="32"/>
  <c r="L12" i="32"/>
  <c r="K12" i="32"/>
  <c r="L8" i="32"/>
  <c r="J67" i="32"/>
  <c r="J64" i="32"/>
  <c r="J43" i="32"/>
  <c r="J40" i="32"/>
  <c r="J37" i="32"/>
  <c r="J34" i="32"/>
  <c r="J14" i="32"/>
  <c r="O14" i="31"/>
  <c r="N14" i="31"/>
  <c r="L14" i="31"/>
  <c r="K14" i="31"/>
  <c r="O13" i="31"/>
  <c r="N13" i="31"/>
  <c r="L13" i="31"/>
  <c r="K13" i="31"/>
  <c r="O12" i="31"/>
  <c r="N12" i="31"/>
  <c r="L12" i="31"/>
  <c r="K12" i="31"/>
  <c r="L8" i="31"/>
  <c r="J79" i="31"/>
  <c r="J75" i="31"/>
  <c r="J72" i="31"/>
  <c r="J50" i="31"/>
  <c r="J44" i="31"/>
  <c r="J37" i="31"/>
  <c r="J34" i="31"/>
  <c r="J14" i="31"/>
  <c r="O14" i="30"/>
  <c r="N14" i="30"/>
  <c r="L14" i="30"/>
  <c r="K14" i="30"/>
  <c r="O13" i="30"/>
  <c r="N13" i="30"/>
  <c r="L13" i="30"/>
  <c r="K13" i="30"/>
  <c r="O12" i="30"/>
  <c r="N12" i="30"/>
  <c r="L12" i="30"/>
  <c r="K12" i="30"/>
  <c r="L8" i="30"/>
  <c r="J86" i="30"/>
  <c r="J82" i="30"/>
  <c r="J77" i="30"/>
  <c r="J51" i="30"/>
  <c r="J45" i="30"/>
  <c r="J38" i="30"/>
  <c r="J35" i="30"/>
  <c r="J14" i="30"/>
  <c r="BL33" i="39" l="1"/>
  <c r="J12" i="35"/>
  <c r="J77" i="35" s="1"/>
  <c r="BM20" i="39"/>
  <c r="BO16" i="39"/>
  <c r="BP16" i="39" s="1"/>
  <c r="BM21" i="39"/>
  <c r="BO23" i="39"/>
  <c r="BP23" i="39" s="1"/>
  <c r="BM30" i="39"/>
  <c r="BI23" i="38"/>
  <c r="J13" i="30"/>
  <c r="J12" i="30" s="1"/>
  <c r="J89" i="30" s="1"/>
  <c r="BM26" i="39"/>
  <c r="BM25" i="39"/>
  <c r="BK93" i="37"/>
  <c r="J13" i="33"/>
  <c r="J12" i="33" s="1"/>
  <c r="J83" i="33" s="1"/>
  <c r="BH25" i="38"/>
  <c r="J13" i="34"/>
  <c r="J12" i="34" s="1"/>
  <c r="J53" i="34" s="1"/>
  <c r="P18" i="36"/>
  <c r="M18" i="36"/>
  <c r="BK18" i="38"/>
  <c r="BL18" i="38" s="1"/>
  <c r="BI18" i="38"/>
  <c r="P22" i="36"/>
  <c r="M22" i="36"/>
  <c r="BK21" i="38"/>
  <c r="BL21" i="38" s="1"/>
  <c r="BI21" i="38"/>
  <c r="BK19" i="38"/>
  <c r="BL19" i="38" s="1"/>
  <c r="BI19" i="38"/>
  <c r="BK16" i="38"/>
  <c r="BL16" i="38" s="1"/>
  <c r="BI16" i="38"/>
  <c r="P28" i="36"/>
  <c r="M28" i="36"/>
  <c r="J13" i="31"/>
  <c r="J12" i="31" s="1"/>
  <c r="J82" i="31" s="1"/>
  <c r="P24" i="36"/>
  <c r="M24" i="36"/>
  <c r="J13" i="32"/>
  <c r="J12" i="32" s="1"/>
  <c r="J70" i="32" s="1"/>
  <c r="P29" i="36"/>
  <c r="M29" i="36"/>
  <c r="P20" i="36"/>
  <c r="M20" i="36"/>
  <c r="M15" i="36"/>
  <c r="P27" i="36"/>
  <c r="M27" i="36"/>
  <c r="P17" i="36"/>
  <c r="M17" i="36"/>
  <c r="P25" i="36"/>
  <c r="M25" i="36"/>
  <c r="BH93" i="37"/>
  <c r="P16" i="36"/>
  <c r="M16" i="36"/>
  <c r="BK17" i="38"/>
  <c r="BL17" i="38" s="1"/>
  <c r="BI17" i="38"/>
  <c r="P23" i="36"/>
  <c r="M23" i="36"/>
  <c r="BK15" i="38"/>
  <c r="BI15" i="38"/>
  <c r="BK22" i="38"/>
  <c r="BL22" i="38" s="1"/>
  <c r="BI22" i="38"/>
  <c r="P26" i="36"/>
  <c r="M26" i="36"/>
  <c r="P21" i="36"/>
  <c r="M21" i="36"/>
  <c r="P19" i="36"/>
  <c r="M19" i="36"/>
  <c r="BO22" i="39"/>
  <c r="BP22" i="39" s="1"/>
  <c r="BM22" i="39"/>
  <c r="BO17" i="39"/>
  <c r="BP17" i="39" s="1"/>
  <c r="BM17" i="39"/>
  <c r="BO24" i="39"/>
  <c r="BP24" i="39" s="1"/>
  <c r="BM24" i="39"/>
  <c r="BO31" i="39"/>
  <c r="BP31" i="39" s="1"/>
  <c r="BM31" i="39"/>
  <c r="BO15" i="39"/>
  <c r="BM15" i="39"/>
  <c r="BO18" i="39"/>
  <c r="BP18" i="39" s="1"/>
  <c r="BM18" i="39"/>
  <c r="BO28" i="39"/>
  <c r="BP28" i="39" s="1"/>
  <c r="BM28" i="39"/>
  <c r="BO29" i="39"/>
  <c r="BP29" i="39" s="1"/>
  <c r="BM29" i="39"/>
  <c r="O14" i="29"/>
  <c r="N14" i="29"/>
  <c r="L14" i="29"/>
  <c r="K14" i="29"/>
  <c r="O13" i="29"/>
  <c r="N13" i="29"/>
  <c r="L13" i="29"/>
  <c r="K13" i="29"/>
  <c r="O12" i="29"/>
  <c r="N12" i="29"/>
  <c r="L12" i="29"/>
  <c r="K12" i="29"/>
  <c r="L8" i="29"/>
  <c r="J82" i="29"/>
  <c r="J78" i="29"/>
  <c r="J75" i="29"/>
  <c r="J54" i="29"/>
  <c r="J44" i="29"/>
  <c r="J41" i="29"/>
  <c r="J38" i="29"/>
  <c r="J14" i="29"/>
  <c r="BO33" i="39" l="1"/>
  <c r="J13" i="29"/>
  <c r="J12" i="29" s="1"/>
  <c r="J85" i="29" s="1"/>
  <c r="P15" i="36"/>
  <c r="BL15" i="38"/>
  <c r="BK25" i="38"/>
  <c r="BP15" i="39"/>
  <c r="O14" i="28"/>
  <c r="N14" i="28"/>
  <c r="L14" i="28"/>
  <c r="K14" i="28"/>
  <c r="O13" i="28"/>
  <c r="N13" i="28"/>
  <c r="L13" i="28"/>
  <c r="K13" i="28"/>
  <c r="O12" i="28"/>
  <c r="N12" i="28"/>
  <c r="L12" i="28"/>
  <c r="K12" i="28"/>
  <c r="L8" i="28"/>
  <c r="J85" i="28"/>
  <c r="J81" i="28"/>
  <c r="J76" i="28"/>
  <c r="J55" i="28"/>
  <c r="J46" i="28"/>
  <c r="J41" i="28"/>
  <c r="J38" i="28"/>
  <c r="J14" i="28"/>
  <c r="O14" i="27"/>
  <c r="N14" i="27"/>
  <c r="L14" i="27"/>
  <c r="K14" i="27"/>
  <c r="O13" i="27"/>
  <c r="N13" i="27"/>
  <c r="L13" i="27"/>
  <c r="K13" i="27"/>
  <c r="O12" i="27"/>
  <c r="N12" i="27"/>
  <c r="L12" i="27"/>
  <c r="K12" i="27"/>
  <c r="L8" i="27"/>
  <c r="J80" i="27"/>
  <c r="J76" i="27"/>
  <c r="J73" i="27"/>
  <c r="J55" i="27"/>
  <c r="J46" i="27"/>
  <c r="J43" i="27"/>
  <c r="J40" i="27"/>
  <c r="J14" i="27"/>
  <c r="O14" i="26"/>
  <c r="N14" i="26"/>
  <c r="L14" i="26"/>
  <c r="K14" i="26"/>
  <c r="O13" i="26"/>
  <c r="N13" i="26"/>
  <c r="L13" i="26"/>
  <c r="K13" i="26"/>
  <c r="O12" i="26"/>
  <c r="N12" i="26"/>
  <c r="L12" i="26"/>
  <c r="K12" i="26"/>
  <c r="L8" i="26"/>
  <c r="J78" i="26"/>
  <c r="J74" i="26"/>
  <c r="J71" i="26"/>
  <c r="J52" i="26"/>
  <c r="J46" i="26"/>
  <c r="J39" i="26"/>
  <c r="J36" i="26"/>
  <c r="J14" i="26"/>
  <c r="O14" i="25"/>
  <c r="N14" i="25"/>
  <c r="L14" i="25"/>
  <c r="K14" i="25"/>
  <c r="O13" i="25"/>
  <c r="N13" i="25"/>
  <c r="L13" i="25"/>
  <c r="K13" i="25"/>
  <c r="O12" i="25"/>
  <c r="N12" i="25"/>
  <c r="L12" i="25"/>
  <c r="K12" i="25"/>
  <c r="L8" i="25"/>
  <c r="J89" i="25"/>
  <c r="J85" i="25"/>
  <c r="J82" i="25"/>
  <c r="J61" i="25"/>
  <c r="J52" i="25"/>
  <c r="J43" i="25"/>
  <c r="J40" i="25"/>
  <c r="J14" i="25"/>
  <c r="W79" i="24"/>
  <c r="W78" i="24"/>
  <c r="W77" i="24"/>
  <c r="W76" i="24"/>
  <c r="W75" i="24"/>
  <c r="W74" i="24"/>
  <c r="W73" i="24"/>
  <c r="W72" i="24"/>
  <c r="W71" i="24"/>
  <c r="W70" i="24"/>
  <c r="W69" i="24"/>
  <c r="W68" i="24"/>
  <c r="W67" i="24"/>
  <c r="W66" i="24"/>
  <c r="W65" i="24"/>
  <c r="W64" i="24"/>
  <c r="W63" i="24"/>
  <c r="W62" i="24"/>
  <c r="W61" i="24"/>
  <c r="W60" i="24"/>
  <c r="W58" i="24"/>
  <c r="W57" i="24"/>
  <c r="W56" i="24"/>
  <c r="W55" i="24"/>
  <c r="W54" i="24"/>
  <c r="W53" i="24"/>
  <c r="W52" i="24"/>
  <c r="W51" i="24"/>
  <c r="W50" i="24"/>
  <c r="W49" i="24"/>
  <c r="W48" i="24"/>
  <c r="W47" i="24"/>
  <c r="W46" i="24"/>
  <c r="W45" i="24"/>
  <c r="W44" i="24"/>
  <c r="W43" i="24"/>
  <c r="W42" i="24"/>
  <c r="W41" i="24"/>
  <c r="W40" i="24"/>
  <c r="W39" i="24"/>
  <c r="W38" i="24"/>
  <c r="W37" i="24"/>
  <c r="W36" i="24"/>
  <c r="W35" i="24"/>
  <c r="W34" i="24"/>
  <c r="W33" i="24"/>
  <c r="W32" i="24"/>
  <c r="W31" i="24"/>
  <c r="W30" i="24"/>
  <c r="W29" i="24"/>
  <c r="W28" i="24"/>
  <c r="W27" i="24"/>
  <c r="W26" i="24"/>
  <c r="W25" i="24"/>
  <c r="W24" i="24"/>
  <c r="W23" i="24"/>
  <c r="W22" i="24"/>
  <c r="W21" i="24"/>
  <c r="W20" i="24"/>
  <c r="W19" i="24"/>
  <c r="W18" i="24"/>
  <c r="W17" i="24"/>
  <c r="W16" i="24"/>
  <c r="W15" i="24"/>
  <c r="O14" i="24"/>
  <c r="N14" i="24"/>
  <c r="L14" i="24"/>
  <c r="K14" i="24"/>
  <c r="O13" i="24"/>
  <c r="N13" i="24"/>
  <c r="L13" i="24"/>
  <c r="K13" i="24"/>
  <c r="O12" i="24"/>
  <c r="N12" i="24"/>
  <c r="L12" i="24"/>
  <c r="K12" i="24"/>
  <c r="L8" i="24"/>
  <c r="J78" i="24"/>
  <c r="J75" i="24"/>
  <c r="J72" i="24"/>
  <c r="J53" i="24"/>
  <c r="J47" i="24"/>
  <c r="J42" i="24"/>
  <c r="J39" i="24"/>
  <c r="J14" i="24"/>
  <c r="O14" i="23"/>
  <c r="N14" i="23"/>
  <c r="L14" i="23"/>
  <c r="K14" i="23"/>
  <c r="O13" i="23"/>
  <c r="N13" i="23"/>
  <c r="L13" i="23"/>
  <c r="K13" i="23"/>
  <c r="O12" i="23"/>
  <c r="N12" i="23"/>
  <c r="L12" i="23"/>
  <c r="K12" i="23"/>
  <c r="L8" i="23"/>
  <c r="J96" i="23"/>
  <c r="J92" i="23"/>
  <c r="J87" i="23"/>
  <c r="J62" i="23"/>
  <c r="J53" i="23"/>
  <c r="J43" i="23"/>
  <c r="J40" i="23"/>
  <c r="J14" i="23"/>
  <c r="E53" i="1" l="1"/>
  <c r="G53" i="1" s="1"/>
  <c r="H53" i="1"/>
  <c r="E52" i="1"/>
  <c r="G52" i="1" s="1"/>
  <c r="H51" i="1"/>
  <c r="R17" i="25"/>
  <c r="R25" i="25"/>
  <c r="R33" i="25"/>
  <c r="R18" i="25"/>
  <c r="R26" i="25"/>
  <c r="R34" i="25"/>
  <c r="R19" i="25"/>
  <c r="R27" i="25"/>
  <c r="R35" i="25"/>
  <c r="R20" i="25"/>
  <c r="R28" i="25"/>
  <c r="R36" i="25"/>
  <c r="R21" i="25"/>
  <c r="R29" i="25"/>
  <c r="R37" i="25"/>
  <c r="R22" i="25"/>
  <c r="R30" i="25"/>
  <c r="R38" i="25"/>
  <c r="R15" i="25"/>
  <c r="R23" i="25"/>
  <c r="R31" i="25"/>
  <c r="R39" i="25"/>
  <c r="R16" i="25"/>
  <c r="R24" i="25"/>
  <c r="R32" i="25"/>
  <c r="W59" i="24"/>
  <c r="W22" i="23"/>
  <c r="W30" i="23"/>
  <c r="W38" i="23"/>
  <c r="W23" i="23"/>
  <c r="W31" i="23"/>
  <c r="W39" i="23"/>
  <c r="W24" i="23"/>
  <c r="W32" i="23"/>
  <c r="W25" i="23"/>
  <c r="W33" i="23"/>
  <c r="W26" i="23"/>
  <c r="W34" i="23"/>
  <c r="W27" i="23"/>
  <c r="W35" i="23"/>
  <c r="W28" i="23"/>
  <c r="W36" i="23"/>
  <c r="W21" i="23"/>
  <c r="W29" i="23"/>
  <c r="W37" i="23"/>
  <c r="J13" i="25"/>
  <c r="J12" i="25" s="1"/>
  <c r="J92" i="25" s="1"/>
  <c r="J13" i="26"/>
  <c r="J12" i="26" s="1"/>
  <c r="J81" i="26" s="1"/>
  <c r="J13" i="24"/>
  <c r="J12" i="24" s="1"/>
  <c r="J81" i="24" s="1"/>
  <c r="J13" i="23"/>
  <c r="J12" i="23" s="1"/>
  <c r="J99" i="23" s="1"/>
  <c r="J13" i="27"/>
  <c r="J12" i="27" s="1"/>
  <c r="J83" i="27" s="1"/>
  <c r="J13" i="28"/>
  <c r="J12" i="28" s="1"/>
  <c r="J88" i="28" s="1"/>
  <c r="O14" i="22"/>
  <c r="N14" i="22"/>
  <c r="L14" i="22"/>
  <c r="K14" i="22"/>
  <c r="O13" i="22"/>
  <c r="N13" i="22"/>
  <c r="L13" i="22"/>
  <c r="K13" i="22"/>
  <c r="O12" i="22"/>
  <c r="N12" i="22"/>
  <c r="L12" i="22"/>
  <c r="K12" i="22"/>
  <c r="L8" i="22"/>
  <c r="J81" i="22"/>
  <c r="J77" i="22"/>
  <c r="J74" i="22"/>
  <c r="J53" i="22"/>
  <c r="J47" i="22"/>
  <c r="J40" i="22"/>
  <c r="J37" i="22"/>
  <c r="J14" i="22"/>
  <c r="T75" i="21"/>
  <c r="T74" i="21"/>
  <c r="T73" i="21"/>
  <c r="T72" i="21"/>
  <c r="T71" i="21"/>
  <c r="T70" i="21"/>
  <c r="T69" i="21"/>
  <c r="T68" i="21"/>
  <c r="T67" i="21"/>
  <c r="T66" i="21"/>
  <c r="T65" i="21"/>
  <c r="T64" i="21"/>
  <c r="T63" i="21"/>
  <c r="T62" i="21"/>
  <c r="T61" i="21"/>
  <c r="T60" i="21"/>
  <c r="T59" i="21"/>
  <c r="T58" i="21"/>
  <c r="T57" i="21"/>
  <c r="T56" i="21"/>
  <c r="T37" i="21"/>
  <c r="T36" i="21"/>
  <c r="T35" i="21"/>
  <c r="T34" i="21"/>
  <c r="T33" i="21"/>
  <c r="T32" i="21"/>
  <c r="T31" i="21"/>
  <c r="T30" i="21"/>
  <c r="T29" i="21"/>
  <c r="T28" i="21"/>
  <c r="T27" i="21"/>
  <c r="T26" i="21"/>
  <c r="T25" i="21"/>
  <c r="T24" i="21"/>
  <c r="T23" i="21"/>
  <c r="T22" i="21"/>
  <c r="T21" i="21"/>
  <c r="T20" i="21"/>
  <c r="T19" i="21"/>
  <c r="T18" i="21"/>
  <c r="T17" i="21"/>
  <c r="T16" i="21"/>
  <c r="T15" i="21"/>
  <c r="O14" i="21"/>
  <c r="N14" i="21"/>
  <c r="L14" i="21"/>
  <c r="K14" i="21"/>
  <c r="O13" i="21"/>
  <c r="N13" i="21"/>
  <c r="L13" i="21"/>
  <c r="K13" i="21"/>
  <c r="O12" i="21"/>
  <c r="N12" i="21"/>
  <c r="L12" i="21"/>
  <c r="K12" i="21"/>
  <c r="L8" i="21"/>
  <c r="J83" i="21"/>
  <c r="J79" i="21"/>
  <c r="J76" i="21"/>
  <c r="J55" i="21"/>
  <c r="J48" i="21"/>
  <c r="J41" i="21"/>
  <c r="J38" i="21"/>
  <c r="J14" i="21"/>
  <c r="V37" i="20"/>
  <c r="V36" i="20"/>
  <c r="V35" i="20"/>
  <c r="V34" i="20"/>
  <c r="V33" i="20"/>
  <c r="V32" i="20"/>
  <c r="V31" i="20"/>
  <c r="V30" i="20"/>
  <c r="V29" i="20"/>
  <c r="V28" i="20"/>
  <c r="V27" i="20"/>
  <c r="V26" i="20"/>
  <c r="V25" i="20"/>
  <c r="V24" i="20"/>
  <c r="V23" i="20"/>
  <c r="V22" i="20"/>
  <c r="V21" i="20"/>
  <c r="V20" i="20"/>
  <c r="V19" i="20"/>
  <c r="V18" i="20"/>
  <c r="V17" i="20"/>
  <c r="V16" i="20"/>
  <c r="V15" i="20"/>
  <c r="O14" i="20"/>
  <c r="N14" i="20"/>
  <c r="L14" i="20"/>
  <c r="K14" i="20"/>
  <c r="O13" i="20"/>
  <c r="N13" i="20"/>
  <c r="L13" i="20"/>
  <c r="K13" i="20"/>
  <c r="O12" i="20"/>
  <c r="N12" i="20"/>
  <c r="L12" i="20"/>
  <c r="K12" i="20"/>
  <c r="L8" i="20"/>
  <c r="J83" i="20"/>
  <c r="J79" i="20"/>
  <c r="J76" i="20"/>
  <c r="J55" i="20"/>
  <c r="J49" i="20"/>
  <c r="J41" i="20"/>
  <c r="J38" i="20"/>
  <c r="J14" i="20"/>
  <c r="O14" i="19"/>
  <c r="N14" i="19"/>
  <c r="L14" i="19"/>
  <c r="K14" i="19"/>
  <c r="O13" i="19"/>
  <c r="N13" i="19"/>
  <c r="L13" i="19"/>
  <c r="K13" i="19"/>
  <c r="O12" i="19"/>
  <c r="N12" i="19"/>
  <c r="L12" i="19"/>
  <c r="K12" i="19"/>
  <c r="L8" i="19"/>
  <c r="J83" i="19"/>
  <c r="J79" i="19"/>
  <c r="J76" i="19"/>
  <c r="J55" i="19"/>
  <c r="J49" i="19"/>
  <c r="J40" i="19"/>
  <c r="J37" i="19"/>
  <c r="J14" i="19"/>
  <c r="O14" i="18"/>
  <c r="N14" i="18"/>
  <c r="L14" i="18"/>
  <c r="K14" i="18"/>
  <c r="O13" i="18"/>
  <c r="N13" i="18"/>
  <c r="L13" i="18"/>
  <c r="K13" i="18"/>
  <c r="O12" i="18"/>
  <c r="N12" i="18"/>
  <c r="L12" i="18"/>
  <c r="K12" i="18"/>
  <c r="L8" i="18"/>
  <c r="J82" i="18"/>
  <c r="J78" i="18"/>
  <c r="J75" i="18"/>
  <c r="J54" i="18"/>
  <c r="J47" i="18"/>
  <c r="J39" i="18"/>
  <c r="J36" i="18"/>
  <c r="J14" i="18"/>
  <c r="O14" i="17"/>
  <c r="N14" i="17"/>
  <c r="L14" i="17"/>
  <c r="K14" i="17"/>
  <c r="O13" i="17"/>
  <c r="N13" i="17"/>
  <c r="L13" i="17"/>
  <c r="K13" i="17"/>
  <c r="O12" i="17"/>
  <c r="N12" i="17"/>
  <c r="L12" i="17"/>
  <c r="K12" i="17"/>
  <c r="L8" i="17"/>
  <c r="J74" i="17"/>
  <c r="J70" i="17"/>
  <c r="J67" i="17"/>
  <c r="J50" i="17"/>
  <c r="J44" i="17"/>
  <c r="J39" i="17"/>
  <c r="J36" i="17"/>
  <c r="J14" i="17"/>
  <c r="O14" i="16"/>
  <c r="N14" i="16"/>
  <c r="L14" i="16"/>
  <c r="K14" i="16"/>
  <c r="O13" i="16"/>
  <c r="N13" i="16"/>
  <c r="L13" i="16"/>
  <c r="K13" i="16"/>
  <c r="O12" i="16"/>
  <c r="N12" i="16"/>
  <c r="L12" i="16"/>
  <c r="K12" i="16"/>
  <c r="L8" i="16"/>
  <c r="J101" i="16"/>
  <c r="J97" i="16"/>
  <c r="J94" i="16"/>
  <c r="J68" i="16"/>
  <c r="J62" i="16"/>
  <c r="J51" i="16"/>
  <c r="J86" i="19" l="1"/>
  <c r="J13" i="17"/>
  <c r="J12" i="17" s="1"/>
  <c r="J77" i="17" s="1"/>
  <c r="J13" i="19"/>
  <c r="J12" i="19" s="1"/>
  <c r="J13" i="18"/>
  <c r="J12" i="18" s="1"/>
  <c r="J85" i="18" s="1"/>
  <c r="J13" i="21"/>
  <c r="J12" i="21" s="1"/>
  <c r="J13" i="20"/>
  <c r="J12" i="20" s="1"/>
  <c r="J86" i="20" s="1"/>
  <c r="J13" i="22"/>
  <c r="J12" i="22" s="1"/>
  <c r="J84" i="22" s="1"/>
  <c r="J48" i="16"/>
  <c r="J14" i="16"/>
  <c r="O14" i="15"/>
  <c r="N14" i="15"/>
  <c r="L14" i="15"/>
  <c r="K14" i="15"/>
  <c r="O13" i="15"/>
  <c r="N13" i="15"/>
  <c r="L13" i="15"/>
  <c r="K13" i="15"/>
  <c r="O12" i="15"/>
  <c r="N12" i="15"/>
  <c r="L12" i="15"/>
  <c r="K12" i="15"/>
  <c r="L8" i="15"/>
  <c r="J81" i="15"/>
  <c r="J77" i="15"/>
  <c r="J74" i="15"/>
  <c r="J53" i="15"/>
  <c r="J47" i="15"/>
  <c r="J39" i="15"/>
  <c r="J36" i="15"/>
  <c r="J14" i="15"/>
  <c r="O14" i="14"/>
  <c r="N14" i="14"/>
  <c r="L14" i="14"/>
  <c r="K14" i="14"/>
  <c r="O13" i="14"/>
  <c r="N13" i="14"/>
  <c r="L13" i="14"/>
  <c r="K13" i="14"/>
  <c r="O12" i="14"/>
  <c r="N12" i="14"/>
  <c r="L12" i="14"/>
  <c r="K12" i="14"/>
  <c r="L8" i="14"/>
  <c r="J79" i="14"/>
  <c r="J75" i="14"/>
  <c r="J72" i="14"/>
  <c r="J50" i="14"/>
  <c r="J44" i="14"/>
  <c r="J39" i="14"/>
  <c r="J36" i="14"/>
  <c r="J14" i="14"/>
  <c r="J13" i="16" l="1"/>
  <c r="J12" i="16" s="1"/>
  <c r="J104" i="16" s="1"/>
  <c r="J13" i="15"/>
  <c r="J12" i="15" s="1"/>
  <c r="J84" i="15" s="1"/>
  <c r="J13" i="14"/>
  <c r="J12" i="14" s="1"/>
  <c r="J82" i="14" s="1"/>
  <c r="O14" i="13" l="1"/>
  <c r="N14" i="13"/>
  <c r="L14" i="13"/>
  <c r="K14" i="13"/>
  <c r="O13" i="13"/>
  <c r="N13" i="13"/>
  <c r="L13" i="13"/>
  <c r="K13" i="13"/>
  <c r="O12" i="13"/>
  <c r="N12" i="13"/>
  <c r="L12" i="13"/>
  <c r="K12" i="13"/>
  <c r="L8" i="13"/>
  <c r="E31" i="1" l="1"/>
  <c r="G31" i="1" s="1"/>
  <c r="J84" i="13"/>
  <c r="J80" i="13"/>
  <c r="J77" i="13"/>
  <c r="J56" i="13"/>
  <c r="J50" i="13"/>
  <c r="J42" i="13"/>
  <c r="J39" i="13"/>
  <c r="J14" i="13"/>
  <c r="AB121" i="12"/>
  <c r="AB120" i="12"/>
  <c r="AB119" i="12"/>
  <c r="AB118" i="12"/>
  <c r="AB117" i="12"/>
  <c r="AB116" i="12"/>
  <c r="AB115" i="12"/>
  <c r="AB114" i="12"/>
  <c r="AB113" i="12"/>
  <c r="AB112" i="12"/>
  <c r="AB111" i="12"/>
  <c r="AB110" i="12"/>
  <c r="AB109" i="12"/>
  <c r="AB108" i="12"/>
  <c r="AB107" i="12"/>
  <c r="AB106" i="12"/>
  <c r="AB105" i="12"/>
  <c r="AB104" i="12"/>
  <c r="AB103" i="12"/>
  <c r="AB102" i="12"/>
  <c r="AB101" i="12"/>
  <c r="AB100" i="12"/>
  <c r="AB99" i="12"/>
  <c r="AB98" i="12"/>
  <c r="AB97" i="12"/>
  <c r="AB96" i="12"/>
  <c r="AB95" i="12"/>
  <c r="AB94" i="12"/>
  <c r="AB93" i="12"/>
  <c r="AB92" i="12"/>
  <c r="AB91" i="12"/>
  <c r="AB90" i="12"/>
  <c r="AB89" i="12"/>
  <c r="AB88" i="12"/>
  <c r="AB87" i="12"/>
  <c r="AB86" i="12"/>
  <c r="AB85" i="12"/>
  <c r="AB84" i="12"/>
  <c r="AB83" i="12"/>
  <c r="AB82" i="12"/>
  <c r="AB81" i="12"/>
  <c r="AB80" i="12"/>
  <c r="AB79" i="12"/>
  <c r="AB78" i="12"/>
  <c r="AB77" i="12"/>
  <c r="AB76" i="12"/>
  <c r="AB75" i="12"/>
  <c r="AB74" i="12"/>
  <c r="AB73" i="12"/>
  <c r="AB72" i="12"/>
  <c r="AB71" i="12"/>
  <c r="AB70" i="12"/>
  <c r="AB69" i="12"/>
  <c r="AB68" i="12"/>
  <c r="AB67" i="12"/>
  <c r="AB66" i="12"/>
  <c r="AB65" i="12"/>
  <c r="AB64" i="12"/>
  <c r="AB63" i="12"/>
  <c r="AB62" i="12"/>
  <c r="AB61" i="12"/>
  <c r="AB60" i="12"/>
  <c r="AB59" i="12"/>
  <c r="AB58" i="12"/>
  <c r="AB57" i="12"/>
  <c r="AB56" i="12"/>
  <c r="AB55" i="12"/>
  <c r="AB54" i="12"/>
  <c r="AB53" i="12"/>
  <c r="AB52" i="12"/>
  <c r="AB51" i="12"/>
  <c r="AB50" i="12"/>
  <c r="AB49" i="12"/>
  <c r="AB48" i="12"/>
  <c r="AB47" i="12"/>
  <c r="AB46" i="12"/>
  <c r="AB45" i="12"/>
  <c r="AB44" i="12"/>
  <c r="AB43" i="12"/>
  <c r="AB42" i="12"/>
  <c r="AB41" i="12"/>
  <c r="AB40" i="12"/>
  <c r="AB39" i="12"/>
  <c r="AB38" i="12"/>
  <c r="AB37" i="12"/>
  <c r="AB36" i="12"/>
  <c r="AB35" i="12"/>
  <c r="AB34" i="12"/>
  <c r="AB33" i="12"/>
  <c r="AB32" i="12"/>
  <c r="AB31" i="12"/>
  <c r="AB30" i="12"/>
  <c r="AB29" i="12"/>
  <c r="AB28" i="12"/>
  <c r="AB27" i="12"/>
  <c r="AB26" i="12"/>
  <c r="AB25" i="12"/>
  <c r="AB24" i="12"/>
  <c r="AB23" i="12"/>
  <c r="AB22" i="12"/>
  <c r="AB21" i="12"/>
  <c r="AB20" i="12"/>
  <c r="AB19" i="12"/>
  <c r="AB18" i="12"/>
  <c r="AB17" i="12"/>
  <c r="AB16" i="12"/>
  <c r="AB15" i="12"/>
  <c r="O14" i="12"/>
  <c r="N14" i="12"/>
  <c r="L14" i="12"/>
  <c r="K14" i="12"/>
  <c r="O13" i="12"/>
  <c r="N13" i="12"/>
  <c r="L13" i="12"/>
  <c r="K13" i="12"/>
  <c r="O12" i="12"/>
  <c r="N12" i="12"/>
  <c r="L12" i="12"/>
  <c r="K12" i="12"/>
  <c r="L8" i="12"/>
  <c r="J120" i="12"/>
  <c r="J116" i="12"/>
  <c r="J107" i="12"/>
  <c r="J63" i="12"/>
  <c r="J53" i="12"/>
  <c r="J50" i="12"/>
  <c r="J48" i="12"/>
  <c r="J14" i="12"/>
  <c r="O14" i="11"/>
  <c r="N14" i="11"/>
  <c r="L14" i="11"/>
  <c r="K14" i="11"/>
  <c r="O13" i="11"/>
  <c r="N13" i="11"/>
  <c r="L13" i="11"/>
  <c r="K13" i="11"/>
  <c r="O12" i="11"/>
  <c r="N12" i="11"/>
  <c r="L12" i="11"/>
  <c r="K12" i="11"/>
  <c r="L8" i="11"/>
  <c r="J76" i="11"/>
  <c r="J72" i="11"/>
  <c r="J69" i="11"/>
  <c r="J48" i="11"/>
  <c r="J42" i="11"/>
  <c r="J39" i="11"/>
  <c r="J36" i="11"/>
  <c r="J14" i="11"/>
  <c r="O14" i="10"/>
  <c r="N14" i="10"/>
  <c r="L14" i="10"/>
  <c r="K14" i="10"/>
  <c r="O13" i="10"/>
  <c r="N13" i="10"/>
  <c r="L13" i="10"/>
  <c r="K13" i="10"/>
  <c r="O12" i="10"/>
  <c r="N12" i="10"/>
  <c r="L12" i="10"/>
  <c r="K12" i="10"/>
  <c r="L8" i="10"/>
  <c r="J81" i="10"/>
  <c r="J77" i="10"/>
  <c r="J72" i="10"/>
  <c r="J48" i="10"/>
  <c r="J42" i="10"/>
  <c r="J39" i="10"/>
  <c r="J36" i="10"/>
  <c r="J14" i="10"/>
  <c r="O14" i="9"/>
  <c r="N14" i="9"/>
  <c r="L14" i="9"/>
  <c r="K14" i="9"/>
  <c r="O13" i="9"/>
  <c r="N13" i="9"/>
  <c r="L13" i="9"/>
  <c r="K13" i="9"/>
  <c r="O12" i="9"/>
  <c r="N12" i="9"/>
  <c r="L12" i="9"/>
  <c r="K12" i="9"/>
  <c r="L8" i="9"/>
  <c r="J99" i="9"/>
  <c r="J94" i="9"/>
  <c r="J91" i="9"/>
  <c r="J64" i="9"/>
  <c r="J56" i="9"/>
  <c r="J49" i="9"/>
  <c r="J46" i="9"/>
  <c r="J14" i="9"/>
  <c r="O14" i="8"/>
  <c r="N14" i="8"/>
  <c r="L14" i="8"/>
  <c r="K14" i="8"/>
  <c r="O13" i="8"/>
  <c r="N13" i="8"/>
  <c r="L13" i="8"/>
  <c r="K13" i="8"/>
  <c r="O12" i="8"/>
  <c r="N12" i="8"/>
  <c r="L12" i="8"/>
  <c r="K12" i="8"/>
  <c r="L8" i="8"/>
  <c r="J81" i="8"/>
  <c r="J77" i="8"/>
  <c r="J74" i="8"/>
  <c r="J53" i="8"/>
  <c r="J47" i="8"/>
  <c r="J40" i="8"/>
  <c r="J37" i="8"/>
  <c r="J14" i="8"/>
  <c r="O14" i="7"/>
  <c r="N14" i="7"/>
  <c r="L14" i="7"/>
  <c r="K14" i="7"/>
  <c r="O13" i="7"/>
  <c r="N13" i="7"/>
  <c r="L13" i="7"/>
  <c r="K13" i="7"/>
  <c r="O12" i="7"/>
  <c r="N12" i="7"/>
  <c r="L12" i="7"/>
  <c r="K12" i="7"/>
  <c r="L8" i="7"/>
  <c r="J83" i="7"/>
  <c r="J79" i="7"/>
  <c r="J76" i="7"/>
  <c r="J55" i="7"/>
  <c r="J49" i="7"/>
  <c r="J40" i="7"/>
  <c r="J37" i="7"/>
  <c r="J14" i="7"/>
  <c r="O14" i="6"/>
  <c r="N14" i="6"/>
  <c r="L14" i="6"/>
  <c r="K14" i="6"/>
  <c r="O13" i="6"/>
  <c r="N13" i="6"/>
  <c r="L13" i="6"/>
  <c r="K13" i="6"/>
  <c r="O12" i="6"/>
  <c r="N12" i="6"/>
  <c r="L12" i="6"/>
  <c r="K12" i="6"/>
  <c r="L8" i="6"/>
  <c r="J76" i="6"/>
  <c r="J72" i="6"/>
  <c r="J69" i="6"/>
  <c r="J49" i="6"/>
  <c r="J43" i="6"/>
  <c r="J40" i="6"/>
  <c r="J37" i="6"/>
  <c r="J14" i="6"/>
  <c r="O14" i="5"/>
  <c r="N14" i="5"/>
  <c r="L14" i="5"/>
  <c r="K14" i="5"/>
  <c r="O13" i="5"/>
  <c r="N13" i="5"/>
  <c r="L13" i="5"/>
  <c r="K13" i="5"/>
  <c r="O12" i="5"/>
  <c r="N12" i="5"/>
  <c r="L12" i="5"/>
  <c r="K12" i="5"/>
  <c r="L8" i="5"/>
  <c r="J79" i="5"/>
  <c r="J75" i="5"/>
  <c r="J72" i="5"/>
  <c r="J51" i="5"/>
  <c r="J45" i="5"/>
  <c r="J40" i="5"/>
  <c r="J37" i="5"/>
  <c r="J14" i="5"/>
  <c r="O14" i="4"/>
  <c r="N14" i="4"/>
  <c r="L14" i="4"/>
  <c r="K14" i="4"/>
  <c r="O13" i="4"/>
  <c r="N13" i="4"/>
  <c r="L13" i="4"/>
  <c r="K13" i="4"/>
  <c r="O12" i="4"/>
  <c r="N12" i="4"/>
  <c r="L12" i="4"/>
  <c r="K12" i="4"/>
  <c r="L8" i="4"/>
  <c r="J84" i="4"/>
  <c r="J80" i="4"/>
  <c r="J77" i="4"/>
  <c r="J55" i="4"/>
  <c r="J49" i="4"/>
  <c r="J40" i="4"/>
  <c r="J37" i="4"/>
  <c r="J14" i="4"/>
  <c r="J13" i="4" l="1"/>
  <c r="J12" i="4" s="1"/>
  <c r="J87" i="4" s="1"/>
  <c r="J13" i="12"/>
  <c r="J12" i="12" s="1"/>
  <c r="J123" i="12" s="1"/>
  <c r="J13" i="6"/>
  <c r="J12" i="6" s="1"/>
  <c r="J13" i="8"/>
  <c r="J12" i="8" s="1"/>
  <c r="J84" i="8" s="1"/>
  <c r="J13" i="7"/>
  <c r="J12" i="7" s="1"/>
  <c r="J13" i="5"/>
  <c r="J12" i="5" s="1"/>
  <c r="J13" i="10"/>
  <c r="J12" i="10" s="1"/>
  <c r="J84" i="10" s="1"/>
  <c r="J13" i="9"/>
  <c r="J12" i="9" s="1"/>
  <c r="J13" i="11"/>
  <c r="J12" i="11" s="1"/>
  <c r="J79" i="11" s="1"/>
  <c r="J13" i="13"/>
  <c r="J12" i="13" s="1"/>
  <c r="J87" i="13" s="1"/>
  <c r="O14" i="3"/>
  <c r="N14" i="3"/>
  <c r="L14" i="3"/>
  <c r="K14" i="3"/>
  <c r="O13" i="3"/>
  <c r="N13" i="3"/>
  <c r="L13" i="3"/>
  <c r="K13" i="3"/>
  <c r="O12" i="3"/>
  <c r="N12" i="3"/>
  <c r="L12" i="3"/>
  <c r="K12" i="3"/>
  <c r="L8" i="3"/>
  <c r="J73" i="3"/>
  <c r="J70" i="3"/>
  <c r="J51" i="3"/>
  <c r="J45" i="3"/>
  <c r="J42" i="3"/>
  <c r="J39" i="3"/>
  <c r="J14" i="3"/>
  <c r="J13" i="3" l="1"/>
  <c r="J12" i="3" s="1"/>
  <c r="J76" i="3" s="1"/>
  <c r="O14" i="2"/>
  <c r="L14" i="2"/>
  <c r="K14" i="2"/>
  <c r="P13" i="2"/>
  <c r="O13" i="2"/>
  <c r="M13" i="2"/>
  <c r="L13" i="2"/>
  <c r="K13" i="2"/>
  <c r="P12" i="2"/>
  <c r="O12" i="2"/>
  <c r="M12" i="2"/>
  <c r="L12" i="2"/>
  <c r="K12" i="2"/>
  <c r="J123" i="2"/>
  <c r="J118" i="2"/>
  <c r="J113" i="2"/>
  <c r="J80" i="2"/>
  <c r="J69" i="2"/>
  <c r="J59" i="2"/>
  <c r="J56" i="2"/>
  <c r="J54" i="2"/>
  <c r="J14" i="2"/>
  <c r="E27" i="1" l="1"/>
  <c r="G27" i="1" s="1"/>
  <c r="J13" i="2"/>
  <c r="J12" i="2" s="1"/>
  <c r="H5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ANTALOVÁ, Zdena</author>
  </authors>
  <commentList>
    <comment ref="K70" authorId="0" shapeId="0" xr:uid="{056B7A66-264F-40EB-95B5-2BF9DE9C7709}">
      <text>
        <r>
          <rPr>
            <b/>
            <sz val="9"/>
            <color indexed="81"/>
            <rFont val="Tahoma"/>
            <family val="2"/>
            <charset val="238"/>
          </rPr>
          <t>ANTALOVÁ, Zdena:</t>
        </r>
        <r>
          <rPr>
            <sz val="9"/>
            <color indexed="81"/>
            <rFont val="Tahoma"/>
            <family val="2"/>
            <charset val="238"/>
          </rPr>
          <t xml:space="preserve">
Nezaměřeno geodetem.</t>
        </r>
      </text>
    </comment>
  </commentList>
</comments>
</file>

<file path=xl/sharedStrings.xml><?xml version="1.0" encoding="utf-8"?>
<sst xmlns="http://schemas.openxmlformats.org/spreadsheetml/2006/main" count="14537" uniqueCount="1227">
  <si>
    <t/>
  </si>
  <si>
    <t>21</t>
  </si>
  <si>
    <t>15</t>
  </si>
  <si>
    <t>PÍSKOVÁ LHOTA, ZÁMOSTÍ SPLAŠKOVÁ KANALIZACE- Uznatelné náklady stavby</t>
  </si>
  <si>
    <t>D</t>
  </si>
  <si>
    <t>01</t>
  </si>
  <si>
    <t xml:space="preserve">Uznatelné náklady stavby </t>
  </si>
  <si>
    <t>1</t>
  </si>
  <si>
    <t>2</t>
  </si>
  <si>
    <t>SO 01</t>
  </si>
  <si>
    <t>Kanalizační stoky gravitační</t>
  </si>
  <si>
    <t>A</t>
  </si>
  <si>
    <t>Stoka A</t>
  </si>
  <si>
    <t>3</t>
  </si>
  <si>
    <t>A1</t>
  </si>
  <si>
    <t>Stoka A1</t>
  </si>
  <si>
    <t>A2</t>
  </si>
  <si>
    <t>Stoka A2</t>
  </si>
  <si>
    <t>A3</t>
  </si>
  <si>
    <t>Stoka A3</t>
  </si>
  <si>
    <t>A4</t>
  </si>
  <si>
    <t>Stoka A4</t>
  </si>
  <si>
    <t>A5</t>
  </si>
  <si>
    <t>Stoka A5</t>
  </si>
  <si>
    <t>A6</t>
  </si>
  <si>
    <t>Stoka A6</t>
  </si>
  <si>
    <t>A7</t>
  </si>
  <si>
    <t>Stoka A7</t>
  </si>
  <si>
    <t>A8</t>
  </si>
  <si>
    <t>Stoka A8</t>
  </si>
  <si>
    <t>A9</t>
  </si>
  <si>
    <t>Stoka A9</t>
  </si>
  <si>
    <t>B</t>
  </si>
  <si>
    <t>Stoka B</t>
  </si>
  <si>
    <t>B1</t>
  </si>
  <si>
    <t>Stoka B1</t>
  </si>
  <si>
    <t>B1.1</t>
  </si>
  <si>
    <t>Stoka B1.1</t>
  </si>
  <si>
    <t>B2</t>
  </si>
  <si>
    <t>Stoka B2</t>
  </si>
  <si>
    <t>B3</t>
  </si>
  <si>
    <t>Stoka B3</t>
  </si>
  <si>
    <t>B3.1</t>
  </si>
  <si>
    <t>Stoka B3.1</t>
  </si>
  <si>
    <t>B4</t>
  </si>
  <si>
    <t>Stoka B4</t>
  </si>
  <si>
    <t>B5</t>
  </si>
  <si>
    <t>Stoka B5</t>
  </si>
  <si>
    <t>B6</t>
  </si>
  <si>
    <t>Stoka B6</t>
  </si>
  <si>
    <t>B7</t>
  </si>
  <si>
    <t>Stoka B7</t>
  </si>
  <si>
    <t>B8</t>
  </si>
  <si>
    <t>Stoka B8</t>
  </si>
  <si>
    <t>C</t>
  </si>
  <si>
    <t>Stoka C</t>
  </si>
  <si>
    <t>C1</t>
  </si>
  <si>
    <t>Stoka C1</t>
  </si>
  <si>
    <t>C2</t>
  </si>
  <si>
    <t>Stoka C2</t>
  </si>
  <si>
    <t>C2.1</t>
  </si>
  <si>
    <t>Stoka C2.1</t>
  </si>
  <si>
    <t>C2.2</t>
  </si>
  <si>
    <t>Stoka C2.2</t>
  </si>
  <si>
    <t>C2.3</t>
  </si>
  <si>
    <t>Stoka C2.3</t>
  </si>
  <si>
    <t>C3</t>
  </si>
  <si>
    <t>Stoka C3</t>
  </si>
  <si>
    <t>C4</t>
  </si>
  <si>
    <t>Stoka C4</t>
  </si>
  <si>
    <t>Stoka D</t>
  </si>
  <si>
    <t>E</t>
  </si>
  <si>
    <t>Stoka E</t>
  </si>
  <si>
    <t>SO 02</t>
  </si>
  <si>
    <t>Veřejná část gravitačních přípojek</t>
  </si>
  <si>
    <t>V</t>
  </si>
  <si>
    <t>SO 03</t>
  </si>
  <si>
    <t>Čerpací stanice OV-ČSe</t>
  </si>
  <si>
    <t>SO 03.1</t>
  </si>
  <si>
    <t>ČSe - stavební část</t>
  </si>
  <si>
    <t>SO 03.2</t>
  </si>
  <si>
    <t>Výtlačný řad Ve</t>
  </si>
  <si>
    <t>SO 03.3</t>
  </si>
  <si>
    <t>ČSe - přípojka nn</t>
  </si>
  <si>
    <t>PS 03.1</t>
  </si>
  <si>
    <t>ČSe - elektrotechnická část a MaR - dodavatel nebude tento PS oceňovat, dodá objednatel</t>
  </si>
  <si>
    <t>PS 03.2</t>
  </si>
  <si>
    <t>ČSe - strojně - technologická část</t>
  </si>
  <si>
    <t>VN</t>
  </si>
  <si>
    <t>Vedlejší a ostatní náklady</t>
  </si>
  <si>
    <t>A - Stoka A</t>
  </si>
  <si>
    <t>MJ</t>
  </si>
  <si>
    <t>Množství</t>
  </si>
  <si>
    <t>HSV</t>
  </si>
  <si>
    <t>Práce a dodávky HSV</t>
  </si>
  <si>
    <t>Zemní práce</t>
  </si>
  <si>
    <t>K</t>
  </si>
  <si>
    <t>111201R-101</t>
  </si>
  <si>
    <t>Odstranění keřů s rozdrcením - průměr kmene do 100 mm</t>
  </si>
  <si>
    <t>kus</t>
  </si>
  <si>
    <t>4</t>
  </si>
  <si>
    <t>112101R-102</t>
  </si>
  <si>
    <t>Odstranění stromů listnatých nebo jehličnatých průměru kmene do 300 mm včetně odstranění pařezů a rozdrcení větví</t>
  </si>
  <si>
    <t>112101R-103</t>
  </si>
  <si>
    <t>Odstranění stromů listnatých nebo jehličnatých průměru kmene nad 300 mm včetně odstranění pařezů a rozdrcení větví</t>
  </si>
  <si>
    <t>5</t>
  </si>
  <si>
    <t>113106521</t>
  </si>
  <si>
    <t>Rozebrání dlažeb vozovek z drobných kostek s ložem z kameniva strojně pl přes 200 m2</t>
  </si>
  <si>
    <t>m2</t>
  </si>
  <si>
    <t>6</t>
  </si>
  <si>
    <t>113107221</t>
  </si>
  <si>
    <t>Odstranění podkladu z kameniva drceného tl 100 mm strojně pl přes 200 m2</t>
  </si>
  <si>
    <t>7</t>
  </si>
  <si>
    <t>113107222</t>
  </si>
  <si>
    <t>Odstranění podkladu z kameniva drceného tl 200 mm strojně pl přes 200 m2</t>
  </si>
  <si>
    <t>8</t>
  </si>
  <si>
    <t>113107223</t>
  </si>
  <si>
    <t>Odstranění podkladu z kameniva drceného tl 300 mm strojně pl přes 200 m2</t>
  </si>
  <si>
    <t>9</t>
  </si>
  <si>
    <t>113107224</t>
  </si>
  <si>
    <t>Odstranění podkladu z kameniva drceného tl 400 mm strojně pl přes 200 m2</t>
  </si>
  <si>
    <t>10</t>
  </si>
  <si>
    <t>113107232</t>
  </si>
  <si>
    <t>Odstranění podkladu z betonu prostého tl 300 mm strojně pl přes 200 m2</t>
  </si>
  <si>
    <t>11</t>
  </si>
  <si>
    <t>113154323</t>
  </si>
  <si>
    <t>Frézování živičného krytu tl 50 mm pruh š 1 m pl do 10000 m2 bez překážek v trase</t>
  </si>
  <si>
    <t>12</t>
  </si>
  <si>
    <t>113154324</t>
  </si>
  <si>
    <t>Frézování živičného krytu tl 100 mm pruh š 1 m pl do 10000 m2 bez překážek v trase</t>
  </si>
  <si>
    <t>13</t>
  </si>
  <si>
    <t>115001101</t>
  </si>
  <si>
    <t>Převedení vody potrubím DN do 100</t>
  </si>
  <si>
    <t>m</t>
  </si>
  <si>
    <t>14</t>
  </si>
  <si>
    <t>115101201</t>
  </si>
  <si>
    <t>Čerpání vody na dopravní výšku do 10 m průměrný přítok do 500 l/min</t>
  </si>
  <si>
    <t>hod</t>
  </si>
  <si>
    <t>115101301</t>
  </si>
  <si>
    <t>Pohotovost čerpací soupravy pro dopravní výšku do 10 m přítok do 500 l/min</t>
  </si>
  <si>
    <t>den</t>
  </si>
  <si>
    <t>16</t>
  </si>
  <si>
    <t>119001401</t>
  </si>
  <si>
    <t>Dočasné zajištění potrubí ocelového nebo litinového DN do 200</t>
  </si>
  <si>
    <t>17</t>
  </si>
  <si>
    <t>119001421</t>
  </si>
  <si>
    <t>Dočasné zajištění kabelů a kabelových tratí ze 3 volně ložených kabelů</t>
  </si>
  <si>
    <t>18</t>
  </si>
  <si>
    <t>121101101</t>
  </si>
  <si>
    <t>Sejmutí ornice s přemístěním na vzdálenost do 50 m</t>
  </si>
  <si>
    <t>m3</t>
  </si>
  <si>
    <t>19</t>
  </si>
  <si>
    <t>121101201</t>
  </si>
  <si>
    <t>Odstranění lesní hrabanky</t>
  </si>
  <si>
    <t>20</t>
  </si>
  <si>
    <t>130001101</t>
  </si>
  <si>
    <t>Příplatek za ztížení vykopávky v blízkosti podzemního vedení</t>
  </si>
  <si>
    <t>132201202</t>
  </si>
  <si>
    <t>Hloubení rýh š do 2000 mm v hornině tř. 3 objemu do 1000 m3</t>
  </si>
  <si>
    <t>22</t>
  </si>
  <si>
    <t>132201209</t>
  </si>
  <si>
    <t>Příplatek za lepivost k hloubení rýh š do 2000 mm v hornině tř. 3</t>
  </si>
  <si>
    <t>23</t>
  </si>
  <si>
    <t>132301202</t>
  </si>
  <si>
    <t>Hloubení rýh š do 2000 mm v hornině tř. 4 objemu do 1000 m3</t>
  </si>
  <si>
    <t>24</t>
  </si>
  <si>
    <t>132301209</t>
  </si>
  <si>
    <t>Příplatek za lepivost k hloubení rýh š do 2000 mm v hornině tř. 4</t>
  </si>
  <si>
    <t>25</t>
  </si>
  <si>
    <t>132401R-101</t>
  </si>
  <si>
    <t>Rozpojování pevných hornin tř.5 skalního podloží rýh š do 2000 mm  frézováním včetně svislého přemístění výkopku</t>
  </si>
  <si>
    <t>26</t>
  </si>
  <si>
    <t>132501R-101</t>
  </si>
  <si>
    <t>Rozpojování pevných hornin tř.6 skalního podloží rýh š do 2000 mm  frézováním včetně svislého přemístění výkopku</t>
  </si>
  <si>
    <t>27</t>
  </si>
  <si>
    <t>151811131</t>
  </si>
  <si>
    <t>Osazení pažicího boxu hl výkopu do 4 m š do 1,2 m</t>
  </si>
  <si>
    <t>28</t>
  </si>
  <si>
    <t>151811141</t>
  </si>
  <si>
    <t>Osazení pažicího boxu hl výkopu do 6 m š do 1,2 m</t>
  </si>
  <si>
    <t>29</t>
  </si>
  <si>
    <t>151811231</t>
  </si>
  <si>
    <t>Odstranění pažicího boxu hl výkopu do 4 m š do 1,2 m</t>
  </si>
  <si>
    <t>30</t>
  </si>
  <si>
    <t>151811241</t>
  </si>
  <si>
    <t>Odstranění pažicího boxu hl výkopu do 6 m š do 1,2 m</t>
  </si>
  <si>
    <t>31</t>
  </si>
  <si>
    <t>162301R-101</t>
  </si>
  <si>
    <t>Vodorovné přemístění výkopku/sypaniny z horniny tř. 1 až 6 na mezideponii</t>
  </si>
  <si>
    <t>32</t>
  </si>
  <si>
    <t>162601R-102</t>
  </si>
  <si>
    <t>Vodorovné přemístění přebytečného výkopku/sypaniny z horniny tř. 1 až 6 na skládku</t>
  </si>
  <si>
    <t>33</t>
  </si>
  <si>
    <t>167101102</t>
  </si>
  <si>
    <t>Nakládání výkopku z hornin tř. 1 až 4 přes 100 m3</t>
  </si>
  <si>
    <t>34</t>
  </si>
  <si>
    <t>171201201</t>
  </si>
  <si>
    <t>Uložení sypaniny na skládky,  čl.1.2-TP v.1.9</t>
  </si>
  <si>
    <t>35</t>
  </si>
  <si>
    <t>171201211</t>
  </si>
  <si>
    <t>Poplatek za uložení stavebního odpadu - zeminy a kameniva na skládce</t>
  </si>
  <si>
    <t>t</t>
  </si>
  <si>
    <t>36</t>
  </si>
  <si>
    <t>174101101</t>
  </si>
  <si>
    <t>Zásyp jam, šachet rýh nebo kolem objektů sypaninou se zhutněním</t>
  </si>
  <si>
    <t>37</t>
  </si>
  <si>
    <t>175151101</t>
  </si>
  <si>
    <t>Obsypání potrubí strojně sypaninou bez prohození, uloženou do 3 m</t>
  </si>
  <si>
    <t>38</t>
  </si>
  <si>
    <t>M</t>
  </si>
  <si>
    <t>583373310</t>
  </si>
  <si>
    <t>štěrkopísek frakce 0/22</t>
  </si>
  <si>
    <t>39</t>
  </si>
  <si>
    <t>181301116</t>
  </si>
  <si>
    <t>Rozprostření ornice tl vrstvy do 400 mm pl přes 500 m2 v rovině nebo ve svahu do 1:5</t>
  </si>
  <si>
    <t>40</t>
  </si>
  <si>
    <t>181301R-103</t>
  </si>
  <si>
    <t>Rozprostření lesní hrabanky tl vrstvy do 200 mm pl do 500 m2 v rovině nebo ve svahu do 1:5</t>
  </si>
  <si>
    <t>Zakládání</t>
  </si>
  <si>
    <t>41</t>
  </si>
  <si>
    <t>212752212</t>
  </si>
  <si>
    <t>Trativod z drenážních trubek plastových flexibilních D do 100 mm včetně lože otevřený výkop</t>
  </si>
  <si>
    <t>Svislé a kompletní konstrukce</t>
  </si>
  <si>
    <t>42</t>
  </si>
  <si>
    <t>359901111</t>
  </si>
  <si>
    <t>Vyčištění stok</t>
  </si>
  <si>
    <t>43</t>
  </si>
  <si>
    <t>359901211</t>
  </si>
  <si>
    <t xml:space="preserve">Monitoring stoky jakékoli výšky na nové kanalizaci - neoceňovat dodává objednatel </t>
  </si>
  <si>
    <t>Vodorovné konstrukce</t>
  </si>
  <si>
    <t>44</t>
  </si>
  <si>
    <t>452112111</t>
  </si>
  <si>
    <t>Osazení betonových prstenců nebo rámů v do 100 mm</t>
  </si>
  <si>
    <t>45</t>
  </si>
  <si>
    <t>59224013</t>
  </si>
  <si>
    <t>prstenec betonový vyrovnávací ke krytu šachty 62,5x10x10 cm</t>
  </si>
  <si>
    <t>46</t>
  </si>
  <si>
    <t>59224012</t>
  </si>
  <si>
    <t>prstenec betonový vyrovnávací ke krytu šachty 62,5x8x10 cm</t>
  </si>
  <si>
    <t>47</t>
  </si>
  <si>
    <t>59224011</t>
  </si>
  <si>
    <t>prstenec betonový vyrovnávací ke krytu šachty 62,5x6x10 cm</t>
  </si>
  <si>
    <t>48</t>
  </si>
  <si>
    <t>59224010</t>
  </si>
  <si>
    <t>prstenec betonový vyrovnávací ke krytu šachty 62,5x4x10 cm</t>
  </si>
  <si>
    <t>49</t>
  </si>
  <si>
    <t>452112121</t>
  </si>
  <si>
    <t>Osazení betonových prstenců nebo rámů v do 200 mm</t>
  </si>
  <si>
    <t>50</t>
  </si>
  <si>
    <t>592MAT-104</t>
  </si>
  <si>
    <t>prstenec betonový vyrovnávací 62,5x12 ( nebo spádový)</t>
  </si>
  <si>
    <t>51</t>
  </si>
  <si>
    <t>452311131</t>
  </si>
  <si>
    <t>Podkladní desky z betonu prostého tř. C 12/15 otevřený výkop</t>
  </si>
  <si>
    <t>52</t>
  </si>
  <si>
    <t>452312131</t>
  </si>
  <si>
    <t>Sedlové lože z betonu prostého tř. C 12/15 otevřený výkop</t>
  </si>
  <si>
    <t>Komunikace pozemní</t>
  </si>
  <si>
    <t>53</t>
  </si>
  <si>
    <t>564851111</t>
  </si>
  <si>
    <t>Podklad ze štěrkodrtě ŠD tl 150 mm</t>
  </si>
  <si>
    <t>54</t>
  </si>
  <si>
    <t>564871116</t>
  </si>
  <si>
    <t>Podklad ze štěrkodrtě ŠD tl. 300 mm</t>
  </si>
  <si>
    <t>55</t>
  </si>
  <si>
    <t>564931412</t>
  </si>
  <si>
    <t>Podklad z asfaltového recyklátu tl 100 mm</t>
  </si>
  <si>
    <t>56</t>
  </si>
  <si>
    <t>573211107</t>
  </si>
  <si>
    <t>Postřik živičný spojovací z asfaltu v množství 0,30 kg/m2</t>
  </si>
  <si>
    <t>57</t>
  </si>
  <si>
    <t>573211109</t>
  </si>
  <si>
    <t>Postřik živičný spojovací z asfaltu v množství 0,50 kg/m2</t>
  </si>
  <si>
    <t>58</t>
  </si>
  <si>
    <t>577144111</t>
  </si>
  <si>
    <t>Asfaltový beton vrstva obrusná ACO 11 (ABS) tř. I tl 50 mm š do 3 m z nemodifikovaného asfaltu</t>
  </si>
  <si>
    <t>59</t>
  </si>
  <si>
    <t>577165112</t>
  </si>
  <si>
    <t>Asfaltový beton vrstva ložní ACL 16 (ABH) tl 70 mm š do 3 m z nemodifikovaného asfaltu</t>
  </si>
  <si>
    <t>60</t>
  </si>
  <si>
    <t>581131115</t>
  </si>
  <si>
    <t>Kryt cementobetonový vozovek skupiny CB I tl 200 mm</t>
  </si>
  <si>
    <t>61</t>
  </si>
  <si>
    <t>591211111</t>
  </si>
  <si>
    <t>Kladení dlažby z kostek drobných z kamene do lože z kameniva těženého tl 50 mm</t>
  </si>
  <si>
    <t>62</t>
  </si>
  <si>
    <t>583801100</t>
  </si>
  <si>
    <t>kostka dlažební žula drobná</t>
  </si>
  <si>
    <t>Trubní vedení</t>
  </si>
  <si>
    <t>63</t>
  </si>
  <si>
    <t>831352121</t>
  </si>
  <si>
    <t>Montáž potrubí z trub kameninových hrdlových s integrovaným těsněním výkop sklon do 20 % DN 200</t>
  </si>
  <si>
    <t>64</t>
  </si>
  <si>
    <t>RB0002016F15</t>
  </si>
  <si>
    <t>trouba kameninová glazovaná DN200mm L1,50m spojovací systém F Třida 160</t>
  </si>
  <si>
    <t>65</t>
  </si>
  <si>
    <t>831362121</t>
  </si>
  <si>
    <t>Montáž potrubí z trub kameninových hrdlových s integrovaným těsněním výkop sklon do 20 % DN 250</t>
  </si>
  <si>
    <t>66</t>
  </si>
  <si>
    <t>RB0002516C25</t>
  </si>
  <si>
    <t>trouba kameninová glazovaná DN250mm L2,50m spojovací systém C Třida 160</t>
  </si>
  <si>
    <t>67</t>
  </si>
  <si>
    <t>P-RING-0250N</t>
  </si>
  <si>
    <t>P kroužky DN 250 třída 160</t>
  </si>
  <si>
    <t>68</t>
  </si>
  <si>
    <t>831392121</t>
  </si>
  <si>
    <t>Montáž potrubí z trub kameninových hrdlových s integrovaným těsněním výkop sklon do 20 % DN 400</t>
  </si>
  <si>
    <t>69</t>
  </si>
  <si>
    <t>RB0004016C25</t>
  </si>
  <si>
    <t>trouba kameninová glazovaná DN400mm L2,50m spojovací systém C Třída 160</t>
  </si>
  <si>
    <t>70</t>
  </si>
  <si>
    <t>P-RING-0400N</t>
  </si>
  <si>
    <t>P kroužky DN 400 třída 160</t>
  </si>
  <si>
    <t>71</t>
  </si>
  <si>
    <t>837352221</t>
  </si>
  <si>
    <t>Montáž kameninových tvarovek jednoosých s integrovaným těsněním otevřený výkop DN 200</t>
  </si>
  <si>
    <t>72</t>
  </si>
  <si>
    <t>BB0002016F90</t>
  </si>
  <si>
    <t>koleno kameninové glazované DN200mm 90° spojovací systém F tř. 200</t>
  </si>
  <si>
    <t>73</t>
  </si>
  <si>
    <t>837361221</t>
  </si>
  <si>
    <t>Montáž kameninových tvarovek odbočných s integrovaným těsněním otevřený výkop DN 250</t>
  </si>
  <si>
    <t>74</t>
  </si>
  <si>
    <t>AB0252016CC2</t>
  </si>
  <si>
    <t>odbočka kameninová glazovaná jednoduchá kolmá DN250/200 L60cm spojovací systém C/F tř.160/200</t>
  </si>
  <si>
    <t>75</t>
  </si>
  <si>
    <t>AB0251516CF2</t>
  </si>
  <si>
    <t>odbočka kameninová glazovaná jednoduchá kolmá DN250/150 L50cm spojovací systém C/F tř.160/-</t>
  </si>
  <si>
    <t>76</t>
  </si>
  <si>
    <t>837362221</t>
  </si>
  <si>
    <t>Montáž kameninových tvarovek jednoosých s integrovaným těsněním otevřený výkop DN 250</t>
  </si>
  <si>
    <t>77</t>
  </si>
  <si>
    <t>GZ0002516C06</t>
  </si>
  <si>
    <t>trouba kameninová glazovaná zkrácená GZ DN250mm L60(75)cm třída 160 spojovací systém C</t>
  </si>
  <si>
    <t>78</t>
  </si>
  <si>
    <t>GA0002516C06</t>
  </si>
  <si>
    <t>trouba kameninová glazovaná zkrácená GA DN250mm L60(75)cm třída 160 spojovací systém C</t>
  </si>
  <si>
    <t>79</t>
  </si>
  <si>
    <t>837392221</t>
  </si>
  <si>
    <t>Montáž kameninových tvarovek jednoosých s integrovaným těsněním otevřený výkop DN 400</t>
  </si>
  <si>
    <t>80</t>
  </si>
  <si>
    <t>GZ0004016C0B</t>
  </si>
  <si>
    <t>trouba kameninová glazovaná zkrácená GZ DN400mm L60(75)cm třída 160 spojovací systém C</t>
  </si>
  <si>
    <t>81</t>
  </si>
  <si>
    <t>GA0004016C0B</t>
  </si>
  <si>
    <t>trouba kameninová glazovaná zkrácená GA DN400mm L60(75)cm třída 160 spojovací systém C</t>
  </si>
  <si>
    <t>82</t>
  </si>
  <si>
    <t>892381R-101</t>
  </si>
  <si>
    <t>Zkoušky dle ČSN EN 1610 (75 6114) Provádění stok a kanalizačních přípojek a jejich zkoušení – vizuální prohlídka, zkouška vodotěsnosti (dle ČSN 75 6909 Zkoušky vodotěsnosti stok a kanalizačních zařízení) a kontrola deformace trub (čl. 12.1. – 12.3).</t>
  </si>
  <si>
    <t>83</t>
  </si>
  <si>
    <t>894411311</t>
  </si>
  <si>
    <t>Osazení železobetonových dílců pro šachty skruží rovných</t>
  </si>
  <si>
    <t>84</t>
  </si>
  <si>
    <t>59224070</t>
  </si>
  <si>
    <t>skruž betonová DN 1000x1000 PS, 100x100x12 cm</t>
  </si>
  <si>
    <t>85</t>
  </si>
  <si>
    <t>59224068</t>
  </si>
  <si>
    <t>skruž betonová DN 1000x500 PS, 100x50x12 cm</t>
  </si>
  <si>
    <t>86</t>
  </si>
  <si>
    <t>59224066</t>
  </si>
  <si>
    <t>skruž betonová DN 1000x250 PS, 100x25x12 cm</t>
  </si>
  <si>
    <t>87</t>
  </si>
  <si>
    <t>59224348</t>
  </si>
  <si>
    <t>těsnění elastomerové pro spojení šachetních dílů DN 1000</t>
  </si>
  <si>
    <t>88</t>
  </si>
  <si>
    <t>894412411</t>
  </si>
  <si>
    <t>Osazení železobetonových dílců pro šachty skruží přechodových</t>
  </si>
  <si>
    <t>89</t>
  </si>
  <si>
    <t>59224168</t>
  </si>
  <si>
    <t>skruž betonová přechodová 62,5/100x60x12 cm, stupadla poplastovaná kapsová</t>
  </si>
  <si>
    <t>90</t>
  </si>
  <si>
    <t>894414111</t>
  </si>
  <si>
    <t>Osazení železobetonových dílců pro šachty skruží základových (dno)</t>
  </si>
  <si>
    <t>91</t>
  </si>
  <si>
    <t>592MAT-101</t>
  </si>
  <si>
    <t>dno betonové šachtové čedičový žlab i nástupnice  dle TP 1.9. VAK MB a.s.- čl.3.19</t>
  </si>
  <si>
    <t>92</t>
  </si>
  <si>
    <t>899104111</t>
  </si>
  <si>
    <t>Osazení poklopů litinových nebo ocelových včetně rámů pro třídu zatížení D400, E600</t>
  </si>
  <si>
    <t>93</t>
  </si>
  <si>
    <t>552MAT-107</t>
  </si>
  <si>
    <t>šachtový poklop s rámem kruhový DN600 (třída D400) – z tvárné litiny,  dle TP 1.9. VAK MB a.s.- čl.3.22</t>
  </si>
  <si>
    <t>94</t>
  </si>
  <si>
    <t>899722114.1</t>
  </si>
  <si>
    <t>Krytí potrubí z plastů výstražnou fólií z PVC  šíře 100 – 300mm, barva hnědá, nápis „KANALIZACE“.</t>
  </si>
  <si>
    <t xml:space="preserve">  Ostatní konstrukce a práce-bourání</t>
  </si>
  <si>
    <t>95</t>
  </si>
  <si>
    <t>919732221</t>
  </si>
  <si>
    <t>Styčná spára napojení nového živičného povrchu na stávající za tepla š 15 mm hl 25 mm bez prořezání</t>
  </si>
  <si>
    <t>96</t>
  </si>
  <si>
    <t>919735111</t>
  </si>
  <si>
    <t>Řezání stávajícího živičného krytu hl do 50 mm</t>
  </si>
  <si>
    <t>97</t>
  </si>
  <si>
    <t>977151R-101</t>
  </si>
  <si>
    <t>Jádrové vrty diamantovými korunkami do D 300 mm do šachtové zkruže</t>
  </si>
  <si>
    <t>98</t>
  </si>
  <si>
    <t>977151R-102</t>
  </si>
  <si>
    <t>Vyplnění mezikruží po jádrovém vrtu vysocerozpínavou maltou,  dle TP 1.9. VAK MB a.s.- čl.3.19</t>
  </si>
  <si>
    <t>997</t>
  </si>
  <si>
    <t>Přesun sutě</t>
  </si>
  <si>
    <t>99</t>
  </si>
  <si>
    <t>997221551.1</t>
  </si>
  <si>
    <t>Vodorovná doprava suti ze sypkých materiálů na skládku</t>
  </si>
  <si>
    <t>100</t>
  </si>
  <si>
    <t>997221815</t>
  </si>
  <si>
    <t>Poplatek za uložení na skládce (skládkovné) stavebního odpadu betonového kód odpadu 170 101</t>
  </si>
  <si>
    <t>101</t>
  </si>
  <si>
    <t>997221845</t>
  </si>
  <si>
    <t>Poplatek za uložení na skládce (skládkovné) odpadu asfaltového bez dehtu kód odpadu 170 302</t>
  </si>
  <si>
    <t>102</t>
  </si>
  <si>
    <t>997221855</t>
  </si>
  <si>
    <t>Poplatek za uložení na skládce (skládkovné) zeminy a kameniva kód odpadu 170 504</t>
  </si>
  <si>
    <t>998</t>
  </si>
  <si>
    <t>Přesun hmot</t>
  </si>
  <si>
    <t>103</t>
  </si>
  <si>
    <t>998275101</t>
  </si>
  <si>
    <t>Přesun hmot pro trubní vedení z trub kameninových otevřený výkop</t>
  </si>
  <si>
    <t>A1 - Stoka A1</t>
  </si>
  <si>
    <t>A2 - Stoka A2</t>
  </si>
  <si>
    <t>A3 - Stoka A3</t>
  </si>
  <si>
    <t>A4 - Stoka A4</t>
  </si>
  <si>
    <t>A5 - Stoka A5</t>
  </si>
  <si>
    <t>A6 - Stoka A6</t>
  </si>
  <si>
    <t>A7 - Stoka A7</t>
  </si>
  <si>
    <t>141721R-101</t>
  </si>
  <si>
    <t>Vrtaný zemní protlak hloubky do 6 m vnějšího průměru do 500 mm v hornině tř. 5 až 6</t>
  </si>
  <si>
    <t>286134400</t>
  </si>
  <si>
    <t>potrubí kanalizační tlakové PE100 SDR 17, tyče 12 m, 500 x 29,7 mm</t>
  </si>
  <si>
    <t>151101201</t>
  </si>
  <si>
    <t>Zřízení příložného pažení stěn výkopu hl do 4 m</t>
  </si>
  <si>
    <t>151101211</t>
  </si>
  <si>
    <t>Odstranění příložného pažení stěn hl do 4 m</t>
  </si>
  <si>
    <t>58344155</t>
  </si>
  <si>
    <t>štěrkodrť frakce 0/22</t>
  </si>
  <si>
    <t>564861111</t>
  </si>
  <si>
    <t>Podklad ze štěrkodrtě ŠD tl 200 mm</t>
  </si>
  <si>
    <t>567132115</t>
  </si>
  <si>
    <t>Podklad ze směsi stmelené cementem SC C 8/10 (KSC I) tl 200 mm</t>
  </si>
  <si>
    <t>851361131</t>
  </si>
  <si>
    <t>Montáž potrubí z trub litinových hrdlových s integrovaným těsněním otevřený výkop DN 250</t>
  </si>
  <si>
    <t>55253005.1</t>
  </si>
  <si>
    <t xml:space="preserve">trouba kanalizační litinová hrdlová DN 250 s násuvným jištěným hrdlovým spojem BLS tř.K9 resp.Class 64 dle ČSN EN 545 - viz 5.1 TPVS </t>
  </si>
  <si>
    <t>552MAT-106</t>
  </si>
  <si>
    <t>šachtový poklop s rámem kruhový DN600 (D400) – samonivelační rám,  dle TP 1.9. VAK MB a.s.- čl.3.21</t>
  </si>
  <si>
    <t>899911151</t>
  </si>
  <si>
    <t>Kluzná objímka výšky 90 mm vnějšího průměru potrubí do 267 mm</t>
  </si>
  <si>
    <t>899913165</t>
  </si>
  <si>
    <t>Uzavírací manžeta chráničky potrubí DN 300 x 500</t>
  </si>
  <si>
    <t>A8 - Stoka A8</t>
  </si>
  <si>
    <t>A9 - Stoka A9</t>
  </si>
  <si>
    <t>B - Stoka B</t>
  </si>
  <si>
    <t>112101R-101</t>
  </si>
  <si>
    <t>Náhradní výsadba stromů</t>
  </si>
  <si>
    <t>831372121</t>
  </si>
  <si>
    <t>Montáž potrubí z trub kameninových hrdlových s integrovaným těsněním výkop sklon do 20 % DN 300</t>
  </si>
  <si>
    <t>RB0003016C25</t>
  </si>
  <si>
    <t>trouba kameninová glazovaná DN300mm L2,50m spojovací systém C Třída 160</t>
  </si>
  <si>
    <t>P-RING-0300N</t>
  </si>
  <si>
    <t>P kroužky DN 300 třída 160</t>
  </si>
  <si>
    <t>837372221</t>
  </si>
  <si>
    <t>Montáž kameninových tvarovek jednoosých s integrovaným těsněním otevřený výkop DN 300</t>
  </si>
  <si>
    <t>GZ0003016C06</t>
  </si>
  <si>
    <t>trouba kameninová glazovaná zkrácená GZ DN300mm L60(75)cm třída 160 spojovací systém C</t>
  </si>
  <si>
    <t>GA0003016C06</t>
  </si>
  <si>
    <t>trouba kameninová glazovaná zkrácená GA DN300mm L60(75)cm třída 160 spojovací systém C</t>
  </si>
  <si>
    <t>935111111</t>
  </si>
  <si>
    <t>Osazení příkopového žlabu do štěrkopísku tl 100 mm z betonových tvárnic š 500 mm</t>
  </si>
  <si>
    <t>59227023</t>
  </si>
  <si>
    <t>žlabovka betonová příkopová 300x1125x350mm</t>
  </si>
  <si>
    <t>977151R-103</t>
  </si>
  <si>
    <t>Rozebrání a opětovné postavení kamenné zídky podél pozemku p.p.č.135/1</t>
  </si>
  <si>
    <t>977151R-104</t>
  </si>
  <si>
    <t>Demontáž stávajícího plotu podél p.p.č.135/3 a 131/4, výstavba provizorního posunutého, jeho demontáž a výstavba stávajícího nového</t>
  </si>
  <si>
    <t>B1 - Stoka B1</t>
  </si>
  <si>
    <t>B1.1 - Stoka B1.1</t>
  </si>
  <si>
    <t>B2 - Stoka B2</t>
  </si>
  <si>
    <t>B3 - Stoka B3</t>
  </si>
  <si>
    <t>151101202</t>
  </si>
  <si>
    <t>Zřízení příložného pažení stěn výkopu hl do 8 m</t>
  </si>
  <si>
    <t>151101212</t>
  </si>
  <si>
    <t>Odstranění příložného pažení stěn hl do 8 m</t>
  </si>
  <si>
    <t>451573111</t>
  </si>
  <si>
    <t>Lože pod potrubí otevřený výkop ze štěrkopísku</t>
  </si>
  <si>
    <t>B3.1 - Stoka B3.1</t>
  </si>
  <si>
    <t>B4 - Stoka B4</t>
  </si>
  <si>
    <t>B5 - Stoka B5</t>
  </si>
  <si>
    <t>B6 - Stoka B6</t>
  </si>
  <si>
    <t>B7 - Stoka B7</t>
  </si>
  <si>
    <t>B8 - Stoka B8</t>
  </si>
  <si>
    <t>C - Stoka C</t>
  </si>
  <si>
    <t>899914R-117</t>
  </si>
  <si>
    <t>Montáž ocelové chráničky D 530 x 14,2 mm</t>
  </si>
  <si>
    <t>14033244</t>
  </si>
  <si>
    <t>trubka ocelová bezešvá hladká tl 14,2mm ČSN 41 1375.1 D 530mm</t>
  </si>
  <si>
    <t>C1 - Stoka C1</t>
  </si>
  <si>
    <t>C2 - Stoka C2</t>
  </si>
  <si>
    <t>C2.1 - Stoka C2.1</t>
  </si>
  <si>
    <t>C2.2 - Stoka C2.2</t>
  </si>
  <si>
    <t>C2.3 - Stoka C2.3</t>
  </si>
  <si>
    <t>C3 - Stoka C3</t>
  </si>
  <si>
    <t>trouba kameninová glazovaná  DN250mm L2,50m spojovací systém C Třida 160</t>
  </si>
  <si>
    <t>C4 - Stoka C4</t>
  </si>
  <si>
    <t>D - Stoka D</t>
  </si>
  <si>
    <t>59224315</t>
  </si>
  <si>
    <t>deska betonová zákrytová pro kruhové šachty 100/62,5 x 16,5 cm</t>
  </si>
  <si>
    <t>E - Stoka E</t>
  </si>
  <si>
    <t>V - Veřejná část gravitačních přípojek</t>
  </si>
  <si>
    <t>1111R-101</t>
  </si>
  <si>
    <t>Výkaz výměr</t>
  </si>
  <si>
    <t>831312121</t>
  </si>
  <si>
    <t>Montáž potrubí z trub kameninových hrdlových s integrovaným těsněním výkop sklon do 20 % DN 150</t>
  </si>
  <si>
    <t>RB0001534F15</t>
  </si>
  <si>
    <t>trouba kameninová glazovaná DN150mm L1,50m spojovací systém F</t>
  </si>
  <si>
    <t>837312221</t>
  </si>
  <si>
    <t>Montáž kameninových tvarovek jednoosých s integrovaným těsněním otevřený výkop DN 150</t>
  </si>
  <si>
    <t>59710964</t>
  </si>
  <si>
    <t>koleno kameninové glazované DN 150 30° spojovací systém F</t>
  </si>
  <si>
    <t>59711852</t>
  </si>
  <si>
    <t>ucpávka kameninová glazovaná DN 150mm spojovací systém F</t>
  </si>
  <si>
    <t>SO 03.1 - ČSe - stavební část</t>
  </si>
  <si>
    <t>131201201</t>
  </si>
  <si>
    <t>Hloubení jam zapažených v hornině tř. 3 objemu do 100 m3</t>
  </si>
  <si>
    <t>131201209</t>
  </si>
  <si>
    <t>Příplatek za lepivost u hloubení jam zapažených v hornině tř. 3</t>
  </si>
  <si>
    <t>131301201</t>
  </si>
  <si>
    <t>Hloubení jam zapažených v hornině tř. 4 objemu do 100 m3</t>
  </si>
  <si>
    <t>131301209</t>
  </si>
  <si>
    <t>Příplatek za lepivost u hloubení jam zapažených v hornině tř. 4</t>
  </si>
  <si>
    <t>131401R-201</t>
  </si>
  <si>
    <t>Rozpojování pevných hornin tř.5 skalního podloží jam frézováním včetně svislého přemístění výkopku</t>
  </si>
  <si>
    <t>151101102</t>
  </si>
  <si>
    <t>Zřízení příložného pažení a rozepření stěn rýh hl do 4 m</t>
  </si>
  <si>
    <t>151101112</t>
  </si>
  <si>
    <t>Odstranění příložného pažení a rozepření stěn rýh hl do 4 m</t>
  </si>
  <si>
    <t>161101102</t>
  </si>
  <si>
    <t>Svislé přemístění výkopku z horniny tř. 1 až 4 hl výkopu do 4 m</t>
  </si>
  <si>
    <t>583441970</t>
  </si>
  <si>
    <t>štěrkodrť frakce 0-63</t>
  </si>
  <si>
    <t>339921132</t>
  </si>
  <si>
    <t>Osazování betonových palisád do betonového základu v řadě výšky prvku přes 0,5 do 1 m</t>
  </si>
  <si>
    <t>592284130</t>
  </si>
  <si>
    <t>BEST-PALISÁDA MASIV betonová přírodní 17,5X20X80 cm</t>
  </si>
  <si>
    <t>382R-101</t>
  </si>
  <si>
    <t>Osazení čerpací jímky z prefabrikovaných ŽB skruží  DN 1500 x 3820 na štěrkové lože a na ŽB podkladní desku,všetně prefa. ŽB stropní desky</t>
  </si>
  <si>
    <t>562300R-101</t>
  </si>
  <si>
    <t>prefa ŽB podzemní jímka ze skruží DN 1500 x 3820 (1 x dno TBZ 1500/1700/120, 2 x skruž se stupadly TBS 1500/1000/120, 1 x stropní deska TBK 1500-625/200 s atyp.otvory DN600 a 900x600 mm včetně poklopů třídy zatížení A 30 -průměr 600 mm a 600 x 900 mm)</t>
  </si>
  <si>
    <t>452311151</t>
  </si>
  <si>
    <t>Podkladní desky z betonu prostého tř. C 20/25 otevřený výkop</t>
  </si>
  <si>
    <t>452368211</t>
  </si>
  <si>
    <t>Výztuž podkladních desek nebo bloků nebo pražců otevřený výkop ze svařovaných sítí Kari</t>
  </si>
  <si>
    <t>564772111</t>
  </si>
  <si>
    <t>Podklad z vibrovaného štěrku VŠ tl 250 mm</t>
  </si>
  <si>
    <t>59621121R.0</t>
  </si>
  <si>
    <t>Kladení zámkové dlažby komunikací pro pěší tl 80 mm skupiny A pl do 50 m2 do bet.lože</t>
  </si>
  <si>
    <t>592452130</t>
  </si>
  <si>
    <t>dlažba zámková IČKO přírodní 19,6x16,1x8 cm</t>
  </si>
  <si>
    <t>892381R-101.</t>
  </si>
  <si>
    <t>Zkouška vodotěsnosti nádrže ČSe dle ČSN 750905</t>
  </si>
  <si>
    <t>Ostatní konstrukce a práce, bourání</t>
  </si>
  <si>
    <t>916131113</t>
  </si>
  <si>
    <t>Osazení silničního obrubníku betonového ležatého s boční opěrou do lože z betonu prostého</t>
  </si>
  <si>
    <t>59217026</t>
  </si>
  <si>
    <t>obrubník betonový silniční 50x15x25 cm</t>
  </si>
  <si>
    <t>919726121</t>
  </si>
  <si>
    <t>Geotextilie pro ochranu, separaci a filtraci netkaná měrná hmotnost do 200 g/m2</t>
  </si>
  <si>
    <t>998223011</t>
  </si>
  <si>
    <t>Přesun hmot pro pozemní komunikace s krytem dlážděným</t>
  </si>
  <si>
    <t>SO 03.2 - Výtlačný řad Ve</t>
  </si>
  <si>
    <t>871235201</t>
  </si>
  <si>
    <t>Montáž kanalizačního potrubí z PE SDR11 otevřený výkop svařovaných elektrotvarovkou D 75 x 6,8 mm</t>
  </si>
  <si>
    <t>122534</t>
  </si>
  <si>
    <t>egelen - kanalizace - roura PE100 RC+ s ochranným pláštěm  d75x6,8mm SDR11/PN16, tyč 12m</t>
  </si>
  <si>
    <t>877235201</t>
  </si>
  <si>
    <t>Montáž elektrospojek na kanalizačním potrubí z PE trub d 75</t>
  </si>
  <si>
    <t>28615973</t>
  </si>
  <si>
    <t>elektrospojka SDR 11 PE 100 PN 16 d 75</t>
  </si>
  <si>
    <t>MAT-101</t>
  </si>
  <si>
    <t>oblouk De75/90st</t>
  </si>
  <si>
    <t>ks</t>
  </si>
  <si>
    <t>MAT-102</t>
  </si>
  <si>
    <t>oblouk De75/45st</t>
  </si>
  <si>
    <t>MAT-103</t>
  </si>
  <si>
    <t>oblouk De75/30st</t>
  </si>
  <si>
    <t>MAT-104</t>
  </si>
  <si>
    <t>oblouk De75/22st</t>
  </si>
  <si>
    <t>MAT-105</t>
  </si>
  <si>
    <t>oblouk De75/11st</t>
  </si>
  <si>
    <t>892241111</t>
  </si>
  <si>
    <t>Tlaková zkouška vodou potrubí do 80</t>
  </si>
  <si>
    <t>892372111</t>
  </si>
  <si>
    <t>Zabezpečení konců potrubí DN do 300 při tlakových zkouškách vodou</t>
  </si>
  <si>
    <t>998276101</t>
  </si>
  <si>
    <t>Přesun hmot pro trubní vedení z trub z plastických hmot otevřený výkop</t>
  </si>
  <si>
    <t>Práce a dodávky M</t>
  </si>
  <si>
    <t>21-M</t>
  </si>
  <si>
    <t>Elektromontáže</t>
  </si>
  <si>
    <t>210800526</t>
  </si>
  <si>
    <t>Montáž měděných vodičů CY, HO5V, HO7V, NYY, YY 4 mm2 uložených volně</t>
  </si>
  <si>
    <t>341110120</t>
  </si>
  <si>
    <t>kabel silový s Cu jádrem CYKY 2x4 mm2</t>
  </si>
  <si>
    <t>SO 03.3 - ČSe - přípojka nn</t>
  </si>
  <si>
    <t>210R-200</t>
  </si>
  <si>
    <t>Výkop a zához rýhy</t>
  </si>
  <si>
    <t>210R-201</t>
  </si>
  <si>
    <t>Kabel CYKY J 4x10</t>
  </si>
  <si>
    <t>210R-202</t>
  </si>
  <si>
    <t>Kopoflex   KF 09040 BC - d40</t>
  </si>
  <si>
    <t>210R-203</t>
  </si>
  <si>
    <t>Zemnící pásek TeZn 30x4</t>
  </si>
  <si>
    <t>210R-204</t>
  </si>
  <si>
    <t>Výstražná varovací folie š. 33cm</t>
  </si>
  <si>
    <t>210R-205</t>
  </si>
  <si>
    <t>Zděný pilířek pro elektroměrový rozváděč a rozvodnici Rcs</t>
  </si>
  <si>
    <t>210R-206</t>
  </si>
  <si>
    <t>Elektroměrový rozváděč ER112/ KVP7P</t>
  </si>
  <si>
    <t>pojistky PN000 40AgG</t>
  </si>
  <si>
    <t>svorka zemnící SR3</t>
  </si>
  <si>
    <t>hlavní jistič PL7 B25/3</t>
  </si>
  <si>
    <t>ekvipotenciální svorkovnice EPS1</t>
  </si>
  <si>
    <t>materiál (dutinka, šrouby, hmoždinky, atd.)</t>
  </si>
  <si>
    <t>kpl</t>
  </si>
  <si>
    <t>210R-207</t>
  </si>
  <si>
    <t>Montáž</t>
  </si>
  <si>
    <t>210R-208</t>
  </si>
  <si>
    <t>Výchozí revizní zpráva elektro</t>
  </si>
  <si>
    <t>210R-209</t>
  </si>
  <si>
    <t>Výměna skříně SS 100 za SS 200 - stávající pilíř - napojení</t>
  </si>
  <si>
    <t>D1</t>
  </si>
  <si>
    <t>Rozvaděč technologie   PČSOV  Písková Lhota</t>
  </si>
  <si>
    <t>Pol1</t>
  </si>
  <si>
    <t>rozvaděč ARIA 108 1000x800x320</t>
  </si>
  <si>
    <t>Pol2</t>
  </si>
  <si>
    <t>montážní plech 1000x800</t>
  </si>
  <si>
    <t>Pol3</t>
  </si>
  <si>
    <t>hlavní vypínač</t>
  </si>
  <si>
    <t>Pol4</t>
  </si>
  <si>
    <t>termostat v rozvaděči</t>
  </si>
  <si>
    <t>Pol5</t>
  </si>
  <si>
    <t>topeni rozvaděč SAREL 100W,230V</t>
  </si>
  <si>
    <t>Pol6</t>
  </si>
  <si>
    <t>přepěťová ochrana C</t>
  </si>
  <si>
    <t>Pol7</t>
  </si>
  <si>
    <t>přepěťová ochrana tř.D</t>
  </si>
  <si>
    <t>Pol8</t>
  </si>
  <si>
    <t>přepěťová ochrana 24VDC</t>
  </si>
  <si>
    <t>Pol9</t>
  </si>
  <si>
    <t>jistič světlo</t>
  </si>
  <si>
    <t>Pol10</t>
  </si>
  <si>
    <t>jistič topeni</t>
  </si>
  <si>
    <t>Pol11</t>
  </si>
  <si>
    <t>jistič_ZTR-U-U</t>
  </si>
  <si>
    <t>Pol12</t>
  </si>
  <si>
    <t>jistič_ZTR-U-V</t>
  </si>
  <si>
    <t>Pol13</t>
  </si>
  <si>
    <t>jistič_ZTR-U-W</t>
  </si>
  <si>
    <t>Pol14</t>
  </si>
  <si>
    <t>jistič_ přenos</t>
  </si>
  <si>
    <t>Pol15</t>
  </si>
  <si>
    <t>jistič_ ovládámí M1 a M2</t>
  </si>
  <si>
    <t>Pol16</t>
  </si>
  <si>
    <t>držák  pojistky</t>
  </si>
  <si>
    <t>Pol17</t>
  </si>
  <si>
    <t>pojistka-skleněná  100mA</t>
  </si>
  <si>
    <t>Pol18</t>
  </si>
  <si>
    <t>relé ztráta napětí</t>
  </si>
  <si>
    <t>Pol19</t>
  </si>
  <si>
    <t>patice STR-U</t>
  </si>
  <si>
    <t>Pol20</t>
  </si>
  <si>
    <t>panelmetr vyhodnoceni hladiny</t>
  </si>
  <si>
    <t>Pol21</t>
  </si>
  <si>
    <t>chránič zás.</t>
  </si>
  <si>
    <t>Pol22</t>
  </si>
  <si>
    <t>jistič_ kombinované zásuvky</t>
  </si>
  <si>
    <t>Pol23</t>
  </si>
  <si>
    <t>mot. spouštěč M1aM2</t>
  </si>
  <si>
    <t>Pol24</t>
  </si>
  <si>
    <t>pomocné kontakty</t>
  </si>
  <si>
    <t>Pol25</t>
  </si>
  <si>
    <t>stykače   M1aM2</t>
  </si>
  <si>
    <t>Pol26</t>
  </si>
  <si>
    <t>Pol27</t>
  </si>
  <si>
    <t>relé  KA1 a KA2</t>
  </si>
  <si>
    <t>Pol28</t>
  </si>
  <si>
    <t>modul-LED  KA1 a KA2</t>
  </si>
  <si>
    <t>Pol29</t>
  </si>
  <si>
    <t>patice relé KA1 a KA2</t>
  </si>
  <si>
    <t>Pol30</t>
  </si>
  <si>
    <t>ovladač M 0 A</t>
  </si>
  <si>
    <t>Pol31</t>
  </si>
  <si>
    <t>nevratná-spoj. díl</t>
  </si>
  <si>
    <t>Pol32</t>
  </si>
  <si>
    <t>spínací jednotka</t>
  </si>
  <si>
    <t>Pol33</t>
  </si>
  <si>
    <t>Pol35</t>
  </si>
  <si>
    <t>patice poruchy č. M1 a M2</t>
  </si>
  <si>
    <t>Pol37</t>
  </si>
  <si>
    <t>patice chod č. M1 a M2</t>
  </si>
  <si>
    <t>Pol38</t>
  </si>
  <si>
    <t>provozní hodiny čerpadla M1 a M2</t>
  </si>
  <si>
    <t>Pol39</t>
  </si>
  <si>
    <t>paměťové relé – střídání  č.</t>
  </si>
  <si>
    <t>Pol40</t>
  </si>
  <si>
    <t>časové relé – střídání č.</t>
  </si>
  <si>
    <t>Pol42</t>
  </si>
  <si>
    <t>N můstek</t>
  </si>
  <si>
    <t>Pol43</t>
  </si>
  <si>
    <t>PE můstek</t>
  </si>
  <si>
    <t>Pol44</t>
  </si>
  <si>
    <t>svorky</t>
  </si>
  <si>
    <t>Pol45</t>
  </si>
  <si>
    <t>svorka RSA PEZ/Ž</t>
  </si>
  <si>
    <t>Pol46</t>
  </si>
  <si>
    <t>svorka RSA N /M</t>
  </si>
  <si>
    <t>Pol47</t>
  </si>
  <si>
    <t>lišta DIN</t>
  </si>
  <si>
    <t>Pol48</t>
  </si>
  <si>
    <t>drátovací liš. 40x60-2M</t>
  </si>
  <si>
    <t>Pol49</t>
  </si>
  <si>
    <t>vodič  CY0,75  černý</t>
  </si>
  <si>
    <t>Pol50</t>
  </si>
  <si>
    <t>vodič  CY1,5  černý</t>
  </si>
  <si>
    <t>Pol51</t>
  </si>
  <si>
    <t>vodič  CY10  černý</t>
  </si>
  <si>
    <t>Pol52</t>
  </si>
  <si>
    <t>vývodky pg21</t>
  </si>
  <si>
    <t>Pol53</t>
  </si>
  <si>
    <t>vývodky pg16</t>
  </si>
  <si>
    <t>Pol54</t>
  </si>
  <si>
    <t>práce _ montáž</t>
  </si>
  <si>
    <t>Pol55</t>
  </si>
  <si>
    <t>doprava</t>
  </si>
  <si>
    <t>km</t>
  </si>
  <si>
    <t>Pol56</t>
  </si>
  <si>
    <t>revize</t>
  </si>
  <si>
    <t>D2</t>
  </si>
  <si>
    <t>Technologie</t>
  </si>
  <si>
    <t>Pol59</t>
  </si>
  <si>
    <t>přívod do RM CYKY-J4x10</t>
  </si>
  <si>
    <t>Pol60</t>
  </si>
  <si>
    <t>tenzometr LMP808</t>
  </si>
  <si>
    <t>Pol61</t>
  </si>
  <si>
    <t>vstup – čidlo SA200</t>
  </si>
  <si>
    <t>Pol62</t>
  </si>
  <si>
    <t>povák</t>
  </si>
  <si>
    <t>Pol63</t>
  </si>
  <si>
    <t>kopoflex   KD 09063 BC kopoflex Ř63</t>
  </si>
  <si>
    <t>Pol64</t>
  </si>
  <si>
    <t>JYTY2Dx1</t>
  </si>
  <si>
    <t>Pol65</t>
  </si>
  <si>
    <t>pospojování CY6z/ž</t>
  </si>
  <si>
    <t>Pol66</t>
  </si>
  <si>
    <t>HTM 50 odpad trub_tenzometr</t>
  </si>
  <si>
    <t>Pol67</t>
  </si>
  <si>
    <t>příchytky na 50ku tr. nerez</t>
  </si>
  <si>
    <t>Pol68</t>
  </si>
  <si>
    <t>kombinovaná zás.32A/400V5p16A/230V</t>
  </si>
  <si>
    <t>Pol69</t>
  </si>
  <si>
    <t>materiál (dutinka, šrouby-nerez, hmoždinky, atd.)</t>
  </si>
  <si>
    <t>D3</t>
  </si>
  <si>
    <t>Přenosové zřízení</t>
  </si>
  <si>
    <t>Pol70</t>
  </si>
  <si>
    <t>zálohovaný zdroj(12VDC, 7,2Ah)</t>
  </si>
  <si>
    <t>Pol71</t>
  </si>
  <si>
    <t>GU1(BKE JS 51-13.8-240)   zdroj napájení 230VAC/12VDC – přenos</t>
  </si>
  <si>
    <t>Pol72</t>
  </si>
  <si>
    <t>telemetrická stanice(T-BOX+GSM+anténa)</t>
  </si>
  <si>
    <t>Pol73</t>
  </si>
  <si>
    <t>PS 03.2 - ČSe - strojně - technologická část</t>
  </si>
  <si>
    <t>350001</t>
  </si>
  <si>
    <t>Záplavové kalové čerpadlo v ČSe, Q=cca 3 l/s, H=8,7m vč. kompl. příslušenství dle specifikace</t>
  </si>
  <si>
    <t>350002</t>
  </si>
  <si>
    <t>Uzavírací  šoupátko DN65 PN16 s ručním kolem, přírubové, mater. dle specifikace</t>
  </si>
  <si>
    <t>350003</t>
  </si>
  <si>
    <t>Zpětný ventil s koulí DN65 PN16,  přírubový, mater. dle specifikace</t>
  </si>
  <si>
    <t>350004</t>
  </si>
  <si>
    <t>Potrubí  výtlaku čerpadel DN 65,  vč. příslušenství dle specifikace, délka 5,5 bm - mater. nerez</t>
  </si>
  <si>
    <t>celek</t>
  </si>
  <si>
    <t>350005</t>
  </si>
  <si>
    <t>Usměnění přítoku, pl. tl 2mm, 800x500, 8 kg, dle výkresu</t>
  </si>
  <si>
    <t>350006</t>
  </si>
  <si>
    <t>Vodící tr. čerpadel O 33,7x2 - dl. cca2x3,5m, nerez</t>
  </si>
  <si>
    <t>350007</t>
  </si>
  <si>
    <t>Doplňkové konstrukce z tr. a profil. materiálu</t>
  </si>
  <si>
    <t>350008</t>
  </si>
  <si>
    <t>Ochranná tr. tlakové sondy, DN50-dl.3 bm, PP dle ČSN EN 1451-1, vč. kotvení</t>
  </si>
  <si>
    <t>Pol34</t>
  </si>
  <si>
    <t>Odzkoušení PS03.2 Čse</t>
  </si>
  <si>
    <t>VN - Vedlejší a ostatní náklady</t>
  </si>
  <si>
    <t>900</t>
  </si>
  <si>
    <t>Ostatní práce a konstrukce dle TP VaK MB - Odkanalizování obcí v povodí Jizery</t>
  </si>
  <si>
    <t>900001.R</t>
  </si>
  <si>
    <t>Zařízení staveniště, čl.1.1-TP</t>
  </si>
  <si>
    <t>900003.R</t>
  </si>
  <si>
    <t>Fotodokumentace stavby, čl.1.3-TP</t>
  </si>
  <si>
    <t>900004.R</t>
  </si>
  <si>
    <t>Publicita a propagace stavby, čl.1.4-TP</t>
  </si>
  <si>
    <t>900005.R</t>
  </si>
  <si>
    <t>Realizační dokumentace stavby včetně projednání a kontroly na stavbě, čl.1.5-TP</t>
  </si>
  <si>
    <t>900006.R</t>
  </si>
  <si>
    <t>Plán bezpečnosti a ochrany zdraví při práci (BOZP), čl.1.6-TP</t>
  </si>
  <si>
    <t>900007.R</t>
  </si>
  <si>
    <t>Záchranný archeologický dohled, čl.1.7-TP</t>
  </si>
  <si>
    <t>900008.R</t>
  </si>
  <si>
    <t>Doklady požadované k předání a převzetí díla, čl.1.8-TP</t>
  </si>
  <si>
    <t>900009.R</t>
  </si>
  <si>
    <t>Dokumentace skutečného provedení stavby a dokumentace geodetického zaměření stavby, čl.1.9-TP</t>
  </si>
  <si>
    <t>900010.R</t>
  </si>
  <si>
    <t>Další doplňující průzkumy, čl.1.10-TP</t>
  </si>
  <si>
    <t>900011.R</t>
  </si>
  <si>
    <t>Pasportizace stávajících objektů – inventarizační prohlídky, čl.1.11-TP</t>
  </si>
  <si>
    <t>900012.R</t>
  </si>
  <si>
    <t>Vytyčení podzemních zařízení, rizika a zvláštní opatření, čl.1.12-TP</t>
  </si>
  <si>
    <t>900013.R</t>
  </si>
  <si>
    <t>Zaškolení pracovníků provozovatele/objednatele, čl.1.13-TP</t>
  </si>
  <si>
    <t>900014.R</t>
  </si>
  <si>
    <t>Vytyčení stavby, ochrana geodetických bodů před poškozením, čl.1.14-TP</t>
  </si>
  <si>
    <t>900015.R</t>
  </si>
  <si>
    <t>Zajištění a osvětlení výkopů a překopů, čl.1.15-TP</t>
  </si>
  <si>
    <t>900016.R</t>
  </si>
  <si>
    <t>Havarijní plán, čl.1.16-TP</t>
  </si>
  <si>
    <t>900017.R</t>
  </si>
  <si>
    <t>Zvláštní požadavky na zhotovení, čl.1.17-TP</t>
  </si>
  <si>
    <t>900018.R</t>
  </si>
  <si>
    <t>Dopravní inženýrské opatření a dopravní značení ( DIO) po dobu stavby</t>
  </si>
  <si>
    <t>NÁZEV AKCE :</t>
  </si>
  <si>
    <t>Odkanalizování povodí Jizery - část B</t>
  </si>
  <si>
    <t xml:space="preserve">ETAPA STAVBY : </t>
  </si>
  <si>
    <t>ČÍSLO SMLOUVY OBJEDNATELE :</t>
  </si>
  <si>
    <t>VRI/SOD/2020/Ži</t>
  </si>
  <si>
    <t>ČÍSLO SMLOUVY ZHOTOVITELE :</t>
  </si>
  <si>
    <t>VCES-6006</t>
  </si>
  <si>
    <t>OBJEDNATEL :</t>
  </si>
  <si>
    <t>Vododvody a kanalizace Mladá Boleslav, a.s.</t>
  </si>
  <si>
    <t>ZHOTOVITEL :</t>
  </si>
  <si>
    <t>VCES a.s.</t>
  </si>
  <si>
    <t>Dne:</t>
  </si>
  <si>
    <t>SOD</t>
  </si>
  <si>
    <t>Dosud provedeno</t>
  </si>
  <si>
    <t>Fakturace 2020/10</t>
  </si>
  <si>
    <t>Fakturace 2020/11</t>
  </si>
  <si>
    <t>Fakturace 2020/12</t>
  </si>
  <si>
    <t>Fakturace 2021/10</t>
  </si>
  <si>
    <t>Fakturace 2021/11</t>
  </si>
  <si>
    <t>Fakturace 2021/12</t>
  </si>
  <si>
    <t>Provedeno od počátku</t>
  </si>
  <si>
    <t>Zbývá provést</t>
  </si>
  <si>
    <t>zkrácený popis</t>
  </si>
  <si>
    <t>cena bez DPH</t>
  </si>
  <si>
    <t>Objednatel: Ing. Tomáš Žitný</t>
  </si>
  <si>
    <t>Zhotovitel: Jiří Prokop</t>
  </si>
  <si>
    <t>SOUPIS PROVEDENÝCH PRACÍ K DATU:</t>
  </si>
  <si>
    <t>OBJEKT :</t>
  </si>
  <si>
    <t>Fakturace 2020/5</t>
  </si>
  <si>
    <t>Fakturace 2020/6</t>
  </si>
  <si>
    <t>Fakturace 2020/7</t>
  </si>
  <si>
    <t>Fakturace 2020/8</t>
  </si>
  <si>
    <t>Fakturace 2020/9</t>
  </si>
  <si>
    <t>Fakturace 2021/1</t>
  </si>
  <si>
    <t>Fakturace 2021/2</t>
  </si>
  <si>
    <t>Fakturace 2021/3</t>
  </si>
  <si>
    <t>Fakturace 2021/4</t>
  </si>
  <si>
    <t>Fakturace 2021/5</t>
  </si>
  <si>
    <t>Fakturace 2021/6</t>
  </si>
  <si>
    <t>Fakturace 2021/7</t>
  </si>
  <si>
    <t>Fakturace 2021/8</t>
  </si>
  <si>
    <t>Fakturace 2021/9</t>
  </si>
  <si>
    <t>Fakturace 2022/1</t>
  </si>
  <si>
    <t>Fakturace 2022/2</t>
  </si>
  <si>
    <t>Fakturace 2022/3</t>
  </si>
  <si>
    <t>Č.pol.</t>
  </si>
  <si>
    <t>Kód položky</t>
  </si>
  <si>
    <t>Název</t>
  </si>
  <si>
    <t>Cena/jedn (Kč)</t>
  </si>
  <si>
    <t>Cena celkem</t>
  </si>
  <si>
    <t>množství</t>
  </si>
  <si>
    <t>a</t>
  </si>
  <si>
    <t>CELKEM A - Stoka A</t>
  </si>
  <si>
    <t>CELKEM A1 - Stoka A1</t>
  </si>
  <si>
    <t>CELKEM A2 - Stoka A2</t>
  </si>
  <si>
    <t>CELKEM A3 - Stoka A3</t>
  </si>
  <si>
    <t>CELKEM A4 - Stoka A4</t>
  </si>
  <si>
    <t>CELKEM A5 - Stoka A5</t>
  </si>
  <si>
    <t>CELKEM A6 - Stoka A6</t>
  </si>
  <si>
    <t>CELKEM A7 - Stoka A7</t>
  </si>
  <si>
    <t>CELKEM A8 - Stoka A8</t>
  </si>
  <si>
    <t>CELKEM A9 - Stoka A9</t>
  </si>
  <si>
    <t>CELKEM B - Stoka B</t>
  </si>
  <si>
    <t>CELKEM B1 - Stoka B1</t>
  </si>
  <si>
    <t>CELKEM B1.1 - Stoka B1.1</t>
  </si>
  <si>
    <t>CELKEM B2 - Stoka B2</t>
  </si>
  <si>
    <t>CELKEM B3 - Stoka B3</t>
  </si>
  <si>
    <t>CELKEM B3.1 - Stoka B3.1</t>
  </si>
  <si>
    <t>CELKEM B4 - Stoka B4</t>
  </si>
  <si>
    <t>CELKEM B5 - Stoka B5</t>
  </si>
  <si>
    <t>CELKEM B6 - Stoka B6</t>
  </si>
  <si>
    <t>CELKEM B7 - Stoka B7</t>
  </si>
  <si>
    <t>CELKEM B8 - Stoka B8</t>
  </si>
  <si>
    <t>CELKEM C - Stoka C</t>
  </si>
  <si>
    <t>CELKEM C1 - Stoka C1</t>
  </si>
  <si>
    <t>CELKEM C2 - Stoka C2</t>
  </si>
  <si>
    <t>CELKEM C2.1 - Stoka C2.1</t>
  </si>
  <si>
    <t>CELKEM C2.2 - Stoka C2.2</t>
  </si>
  <si>
    <t>CELKEM C2.3 - Stoka C2.3</t>
  </si>
  <si>
    <t>CELKEM C3 - Stoka C3</t>
  </si>
  <si>
    <t>CELKEM C4 - Stoka C4</t>
  </si>
  <si>
    <t>CELKEM D - Stoka D</t>
  </si>
  <si>
    <t>CELKEM E - Stoka \E</t>
  </si>
  <si>
    <t>CELKEM V - Veřejná část gravitačních přípojek</t>
  </si>
  <si>
    <t>CELKEM SO 03.1 - Čse - stavební část</t>
  </si>
  <si>
    <t>CELKEM SO 03.2 - Výtlačný řad Ve</t>
  </si>
  <si>
    <t>CELKEM SO 03.3 - Čse - přípojka nn</t>
  </si>
  <si>
    <t>PS 03.1 - ČSe - elektrotechnická část a MaR - dodavatel nebude tento PS oceňovat, dodá objednatel</t>
  </si>
  <si>
    <t>CELKEM PS 03.1 - Čse - elektrotechnická část a MaR</t>
  </si>
  <si>
    <t>CELKEM PS 03.2 - Čse - strojně - technologická část</t>
  </si>
  <si>
    <t>CELKEM VN - Vedlejší a ostatní náklady</t>
  </si>
  <si>
    <t>procentuálně</t>
  </si>
  <si>
    <t>Nepoužito</t>
  </si>
  <si>
    <t>to sice ano, ale odstraění proběhlo, takže jak budeme fakturovat</t>
  </si>
  <si>
    <t>opět by mělo být podkladem pro ZL, mažu, ale info máte</t>
  </si>
  <si>
    <t>viz výše</t>
  </si>
  <si>
    <t>2 kusy tam jsou - a navíc tedy chybí zkrácený kus s hrdlem )</t>
  </si>
  <si>
    <t>o kolik by se měla snížit výměra</t>
  </si>
  <si>
    <t>přesnou délku máme a bylo provedeno více (170,93 m)</t>
  </si>
  <si>
    <t>Správce stavby : Ing. Jakub Mucha</t>
  </si>
  <si>
    <t>Poznámky TDS 12/2020</t>
  </si>
  <si>
    <t>opraveno</t>
  </si>
  <si>
    <t>Poznámky TDS 1/2021</t>
  </si>
  <si>
    <t>,</t>
  </si>
  <si>
    <t>Poznámky TDS 2/2021</t>
  </si>
  <si>
    <t>Beru na vědomí</t>
  </si>
  <si>
    <t>V minulé fakturaci zbývalo 10,84 m3. To je více než dostačující množství. S víceprací nesouhlasím</t>
  </si>
  <si>
    <t>OK</t>
  </si>
  <si>
    <t>Poznámky TDS 03/2021</t>
  </si>
  <si>
    <t>Poznámky TDS 03/21</t>
  </si>
  <si>
    <t>Přefakturované položky prosím dorovnat, děkuji.</t>
  </si>
  <si>
    <t>Poznámky TDS 04/2021</t>
  </si>
  <si>
    <t>Nesouhlasím s fakturací v tř. 6. Prosím o přepočet objemu do tř. 5</t>
  </si>
  <si>
    <t>Nesouhlasím s čerpáním této položky</t>
  </si>
  <si>
    <t>Nepoužito v tomto množství.</t>
  </si>
  <si>
    <t>Bude řešeno s projektantem a případně ZL na konci stavby.</t>
  </si>
  <si>
    <t>V trase stoky A bylo domluveno nepoužívat (dle podkladů od paní starostky). Nelze fakturovat.</t>
  </si>
  <si>
    <t>Množství by mělo rámcově odpovídat pokládce trub.</t>
  </si>
  <si>
    <t>V trase stoky nebylo co frézovat, došlo jen k odstranění kameniva</t>
  </si>
  <si>
    <t>Prosím o snížení dle připomínek z PP. Deska byla v délce 33,7m  provedena jen v tl. 40mm. Prosím o snížení</t>
  </si>
  <si>
    <t>Nesouhlasím, v 50% není používáno.</t>
  </si>
  <si>
    <t>???? -všude byl asfalt, pokud se nepletu - Můžu propočítat do odstranění</t>
  </si>
  <si>
    <t xml:space="preserve">poníženo </t>
  </si>
  <si>
    <t xml:space="preserve">Jak budeme tedy účtovat </t>
  </si>
  <si>
    <t>82*1,1=90,2 m 2</t>
  </si>
  <si>
    <t xml:space="preserve">za mě není správně - od začátku stavby už nejde o drobné </t>
  </si>
  <si>
    <t>Na jakém základě?, materiál je nakládán odvážen a uložen v Kolomutech</t>
  </si>
  <si>
    <t xml:space="preserve">110 * 1,1= 121 - máte pravdu </t>
  </si>
  <si>
    <t>nesouhlasím, byl bych rád za vyřešení v co nejkratším termínu</t>
  </si>
  <si>
    <t>poníženo</t>
  </si>
  <si>
    <t>jsem přesvědčen, že tř. 65 byla zastoupena, když na místo přejížfděla fréza. Otázkou je množství, o tom se asi můžeme bavit</t>
  </si>
  <si>
    <t>myslím, že poky přišel až na začátku května</t>
  </si>
  <si>
    <t>rád změním na výdřevu, protože boxy není možné použít, při jednotkovbé ceně boxů v tomto oddílu budu i rád.</t>
  </si>
  <si>
    <t>2. Poznámky TDS 04/2021</t>
  </si>
  <si>
    <t>Frézu jsem na stoce A nespatřil, proto hodnotím plošně dle minulých měsíců. Prosím o sdělení, kde byla používána.</t>
  </si>
  <si>
    <t>Paní starostka předala podklad před PP23 (21.4.20), na které jsme následně řešili opravy komunikací dle jejího zadání. Aktuálně platí pokyn nikde nevyužívat ŠD a rýhu zasýpat výkopkem až do vrchu (od 2. týdne v květnu)</t>
  </si>
  <si>
    <t>Po dohodě souhlasím s čerpáním položky. Odvoz přebytečného materiálu budeme muset dořešit v nejbližší době.</t>
  </si>
  <si>
    <t>2.Poznámky TDS 04/2021</t>
  </si>
  <si>
    <t>Rozumím, bude projednáno s Obj. a stanoveno řešení.</t>
  </si>
  <si>
    <t>Omlouvám se, moje chyba. Překoukl jsem se v površích v podélném profilu.</t>
  </si>
  <si>
    <t>Ano byl, řešíme poměrně často. Přepočítávat není účelné ani pro jednu stranu. Souhlasím s ponecháním.</t>
  </si>
  <si>
    <t>Poznámky TDS 4/2021</t>
  </si>
  <si>
    <t>S přepočtem na výdřevu nesouhlasím. Pažící boxy lze ve většíně případů využívat, jen je třeba zvolit vhodný druh. Nesouhlasím však s nezapaženými a nezajištěnými stavebními rýhami. Takto nelze provádět ani ve stabilním podloží. V momentě, kdy bude řádně paženo, nemám problém s čerpáním plné částky.</t>
  </si>
  <si>
    <t>Nesouhlasím s Vaší interpretací. Když nejdou boxy použít a je použizta výdřeva, měla by být zaplacena. Unifikované boxy mají unifikované rozměry a u přípojke je nelze vždy použít vzhledem k příčnému křížení inženýrských sítí. Za mě je to chyba při tvorbě VV. Kdyby tam bylo pažení příložné nemáme se o čem bavit. Vzhledem k pokročilému datu ponížuji</t>
  </si>
  <si>
    <t xml:space="preserve">mezi Š 43 a 45, přejížděla tam naše fréza a vracela se zpět na A7 dle postupu prací </t>
  </si>
  <si>
    <t>A faktura je za duben 2021</t>
  </si>
  <si>
    <t>Ok, děkuji. Pokud budete požadovat plošnou změnu položky, prosím o předožení návrhu rozdílového rozpočtu.</t>
  </si>
  <si>
    <t>v tuto chvíli smazáno</t>
  </si>
  <si>
    <t>OK, pro tuto chvíli smazáno</t>
  </si>
  <si>
    <t xml:space="preserve">OK mažu </t>
  </si>
  <si>
    <t>OK mažu</t>
  </si>
  <si>
    <t>Odkanalizování obcí v povodí Jizery - část B</t>
  </si>
  <si>
    <t>Poznámky TDS 05/21</t>
  </si>
  <si>
    <t>Pokyn od Obj. byl nevyužívat ŠD vůbec. Prosím o odstranění položky.</t>
  </si>
  <si>
    <t>Nesouhlasím s procentuelním objemem vyšším, než je pokládka trub.</t>
  </si>
  <si>
    <t>Probíhá vyjasňování objemů s projektantem stavby.</t>
  </si>
  <si>
    <t>Prosím o sdělení, co za materiál byl odvážen a trvalae uložen</t>
  </si>
  <si>
    <t>Probíhá vyjasňování s projektantem stavby</t>
  </si>
  <si>
    <t>Nefrézováno, prosím přepočíst do tř. 4</t>
  </si>
  <si>
    <t>Prosím o sdělení o jaký výkopek se jedná</t>
  </si>
  <si>
    <t>Poznámky TDS 5/2021</t>
  </si>
  <si>
    <t>Upozorňuji, že hloubení rýh pro kanalizační přípojky probíhá v menším objemu, než dle PD. To je zapříčiněno vymělčováním jednotlivých přípojek. Bude nutné upravit dle skutečně provedeného.</t>
  </si>
  <si>
    <t>Prosím o sdělení, o jaký materiál se jedná</t>
  </si>
  <si>
    <t>Poznámky TDS 05/2021</t>
  </si>
  <si>
    <t>fréza přejížděla z pracviště na stoce B</t>
  </si>
  <si>
    <t>poníženo o 15%</t>
  </si>
  <si>
    <t>Poznámky TDS 06/2021</t>
  </si>
  <si>
    <t>Vyšší množství, než odpovídá pokládce</t>
  </si>
  <si>
    <t>Prosím o sdělení, proč bylo použito. Dle dohody z PP bude všude v Pískové Lhotě zasypáno jen výkopkem.</t>
  </si>
  <si>
    <t>Nelze dofakturovat bez přesné délky od geodeta stavby</t>
  </si>
  <si>
    <t>Ponechat 5 %</t>
  </si>
  <si>
    <t>Nelze přefakturovat. Dle stanoviska projektanta je objem betonů v položkách 452311131 a 452312131 dostatečný.</t>
  </si>
  <si>
    <t>Není dokončeno. Prosím ponechat 15%.</t>
  </si>
  <si>
    <t>Dle domluvy z PP nebylo použito. Nelze fakturovat</t>
  </si>
  <si>
    <t>Kde bylo použito toto množství prosím</t>
  </si>
  <si>
    <t>Nelze přefakturovat. Prosím ponechat 5% do doby stanovení přesné délky geodetem stavby</t>
  </si>
  <si>
    <t>Není paženo dle požadavků KBOZP a TDS. Prosím ponížit fakturaci na 75%</t>
  </si>
  <si>
    <t>Dle domluvy z PP bude využito jen u komunikací, kde je jasné stanovena oprava dle PD, čili čst zástavby "sever". Zbytek zasýpán výkopkem až do vrchu. ŠD není použita na KP v tomto množství.</t>
  </si>
  <si>
    <t>použito na realizaci spadišt</t>
  </si>
  <si>
    <t>Poznámky TDS 07/21</t>
  </si>
  <si>
    <t>Neprováděno, prosím smazat.</t>
  </si>
  <si>
    <t>Prosím ponechat 5%</t>
  </si>
  <si>
    <t>Neprovedeno v tomto množství. Prosím snížit dle skutečnosti.</t>
  </si>
  <si>
    <t>Nelze přefakturovat. Prosím ponížit. Řešeno s projektantem.</t>
  </si>
  <si>
    <t>Nelze přefakturovat. Prosím ponížit. Aktuálně řešeno s projektantem.</t>
  </si>
  <si>
    <t>Prosím ponechat 10% před určením přesné délky zemního protlaku</t>
  </si>
  <si>
    <t xml:space="preserve">Prosím ponížit dle PD </t>
  </si>
  <si>
    <t>Nesouhlasím s tímto množstvím. Prosím snížit dle aktuální prostavěnosti.</t>
  </si>
  <si>
    <t>Položeno 32m trub. Prosím upravit soupis prací dle tohoto množství. Nelze požadovat např. odstranění podkladu z kameniva různé tl. v ploše 87m2.</t>
  </si>
  <si>
    <t>Prosím ponížit.</t>
  </si>
  <si>
    <t>Nesouhlasím s fakturací.</t>
  </si>
  <si>
    <t xml:space="preserve">Snížit dle PD přípojek. Nesouhlasím s objemem 105,5m3.  </t>
  </si>
  <si>
    <t>Nesouhlasím s množstvím pažení.</t>
  </si>
  <si>
    <t>Prosím snížit.</t>
  </si>
  <si>
    <t>Nelze přefakturovat. ŠD nebyla použita v celé délce stav rýhy. Prosím snížit na 15m2.</t>
  </si>
  <si>
    <t>Prosím snížit. Není doloženo provedení v tomto množství.</t>
  </si>
  <si>
    <t>Poznámky TDS 08/21</t>
  </si>
  <si>
    <t>Dle pokynů z PP nemá být používáno. Nelze fakturovat</t>
  </si>
  <si>
    <t>Prosím ponížit vůči aktuální prostavěnosti</t>
  </si>
  <si>
    <t>Musí odpovídat hloubení v dané tř.</t>
  </si>
  <si>
    <t>Musí odpovídat hloubení v dané tř. Nutno dorovnat.</t>
  </si>
  <si>
    <t>Prosím ponechat 5% z fakturace</t>
  </si>
  <si>
    <t>Kde bylo použito toto množství?</t>
  </si>
  <si>
    <t>K vysazení kolen dochází z důvodu zjednodušení realizace KP. Nelze v plné výši nárokovat, pokud není přímo požadováno v PD přípojky.</t>
  </si>
  <si>
    <t>Kde bylo použito?</t>
  </si>
  <si>
    <t>KP se ukládají do pískového lože.</t>
  </si>
  <si>
    <t xml:space="preserve">všude v komunikaci, jelikož není k čerpání položka tl.  Mm dávám takto </t>
  </si>
  <si>
    <t>pokud tam jsou, měly by být zaplaceny</t>
  </si>
  <si>
    <t>jedná se o sedlové lože náležející položenému potrubí. VV je špatně, ale 11,5 m3 mažu a bude součástí ZL</t>
  </si>
  <si>
    <t>nesouhlasím. Stejný problém jako na všech objektech. Pokud je zatím možnost chci fakturovat, nebo jsme neprováděli</t>
  </si>
  <si>
    <t>ale nějak ulici upravit musíme, pro provizorní úpravu se snažíme používat polovinu mocnosti uedené v položce, proto fakturuji poloviční množství, než by mělo být fakturováno.</t>
  </si>
  <si>
    <t>myslím, že ano, ale mohu smazat</t>
  </si>
  <si>
    <t>Dle pokynů Obj. má docházet k zasypání stavební rýhy výkopkem až do vrchu (výkopek z PL je poměrně kvalitní). Následně dojde k odebrání materiálu a nasypání konstrukčních vrstev komunikací dle způsobu obnovy.</t>
  </si>
  <si>
    <t>Prosím opětovně doložit váš výpočet potřebného množství, děkuji vám.</t>
  </si>
  <si>
    <t>Po domluvě se stavbou došlo k využití 2ks. Prosím ponížit, děkuji.</t>
  </si>
  <si>
    <t>Rozumím vaší poznámce. K vymělčení nedochází z důvodu pokynu Obj., ale z důvodu vašeho usnadnění prací. Pokud by to mělo být tímto způsobem, trvám na realizaci dle PD.</t>
  </si>
  <si>
    <t>Stavební rýha má být ale zasypána až do vrchu výkopkem z PL.</t>
  </si>
  <si>
    <t>navíc použito tam, kde není POWERCEM</t>
  </si>
  <si>
    <t>po dohodě tento měsíc ponecháno</t>
  </si>
  <si>
    <t>po dohodě ponecháno</t>
  </si>
  <si>
    <t>Poznámky TDS 9/21</t>
  </si>
  <si>
    <t>Neprováděno v tomto rozsahu. Fakturovat dle PP.</t>
  </si>
  <si>
    <t>Neprovedeno</t>
  </si>
  <si>
    <t>Není dokončena pokládka. Čerpání bude i nadále probíhat</t>
  </si>
  <si>
    <t>mělo by odpovídat pokládce trub</t>
  </si>
  <si>
    <t>Nelze přefakturovat</t>
  </si>
  <si>
    <t>Kde bylo použito</t>
  </si>
  <si>
    <t>Poznámky TDS 09/21</t>
  </si>
  <si>
    <t>Neprovedeno, odsunutí trasy</t>
  </si>
  <si>
    <t>kde uloženo? Odvoz již neprobíhá</t>
  </si>
  <si>
    <t>Na 50m trub menší množství</t>
  </si>
  <si>
    <t>opúraveno, překlep</t>
  </si>
  <si>
    <t>chápu, bude řešeno změnou</t>
  </si>
  <si>
    <t>změna chápu</t>
  </si>
  <si>
    <t xml:space="preserve">no právě </t>
  </si>
  <si>
    <t>oprvaeno, smazáno 74</t>
  </si>
  <si>
    <t>Poznámky TDS 10/21</t>
  </si>
  <si>
    <t>Ponechat 5% děkuji,</t>
  </si>
  <si>
    <t>Kde bylo provedeno?</t>
  </si>
  <si>
    <t>Nesouhlasím, čerpání v trase stoky v lese neprobíhalo</t>
  </si>
  <si>
    <t>Prosím nefakturovat. Nutno procentuálně provázat s hloubením</t>
  </si>
  <si>
    <t>Nesouhlasím s tímto množstvím. Téměř celá trasa stoky A pokládaná v měsíci říjnu 2021 nebyla pažena</t>
  </si>
  <si>
    <t>Nelze přefakturovat, děkuji. Pokud stále vnímáte jako nesrovnalost v soupisu prací, prosím předložit návrh opravy, který předáme projektantovi k posouzení, děkuji.</t>
  </si>
  <si>
    <t>Odbočky z neuznatelných nákladů (KP nad rámec projektu nelze fakturovat v soupisu uznatelných nákladů.</t>
  </si>
  <si>
    <t>Kde provedeno?</t>
  </si>
  <si>
    <t>Nesouhlasím s dočerpáním položky</t>
  </si>
  <si>
    <t>Opravdu použita tato chránička (odlišné rozměry)</t>
  </si>
  <si>
    <t>Kde bylo odstraňováno 30cm štěrku? Děkuji</t>
  </si>
  <si>
    <t>Kolena vysazovaná z důvodu usnadnění/vymělčení KP nelze fakturovat. Prosím snížit, respektive odstranit položku.</t>
  </si>
  <si>
    <t>Prosím snížit ve vztahu k délce položených trub.</t>
  </si>
  <si>
    <t>Procentuálně musí odpovídat hloubení.</t>
  </si>
  <si>
    <t>Nesouhlasím, prosím nefakturovat</t>
  </si>
  <si>
    <t>na stoce</t>
  </si>
  <si>
    <t>ale prtobíhalo, navíc už minulý měsíc, jsme konstatovali, že na stoce A je čerání málo</t>
  </si>
  <si>
    <t>toto je množství, které odpovídá pažení od Š 14 k náměstí</t>
  </si>
  <si>
    <t xml:space="preserve">Vnímám nesronalost od začátku stavby, kdy jsme to řešili a stále mi nepřišlo vyjádření </t>
  </si>
  <si>
    <t>nerozumím, nevysadili jsme všechny uznatelné odbočky ?</t>
  </si>
  <si>
    <t>ok</t>
  </si>
  <si>
    <t xml:space="preserve">už u protlaku u startovací a cílové jámy </t>
  </si>
  <si>
    <t>to odpovídá provedenému množství</t>
  </si>
  <si>
    <t>ANO</t>
  </si>
  <si>
    <t xml:space="preserve">na štěrkové cestě </t>
  </si>
  <si>
    <t xml:space="preserve">viz. A  a další </t>
  </si>
  <si>
    <t>takto nelze prezentovat, nesouhlasím</t>
  </si>
  <si>
    <t>nebylo prováděno?</t>
  </si>
  <si>
    <t>2. Poznámky TDS 10/21</t>
  </si>
  <si>
    <t>Dle skutečnosti ale tato mocnost nebyla zjištěna.</t>
  </si>
  <si>
    <t>V lese docházelo k vymělčení a při každé kontrole jsem zde spodní vodu nezaznamenal.</t>
  </si>
  <si>
    <t>Ze ale nebylo nejprve paženo vůbec a následně nebylo v plné míře (jen lokální rozepření výdřevou a geotextílií)</t>
  </si>
  <si>
    <t>Mohu požádat o zaslání poznámky emailem, děkuji.</t>
  </si>
  <si>
    <t>v měsíci říjnu nedošlo k vysazení veškerých odboček. Ty lze dofakturovat až v listopadu. Ohledně neuznatelných nutno řešit externě.</t>
  </si>
  <si>
    <t>Nutno dořešit viz většína stok</t>
  </si>
  <si>
    <t>Kde bylo tedy provedeno příložné pažení hl. do 8m prosím?</t>
  </si>
  <si>
    <t>viz A</t>
  </si>
  <si>
    <t>OK, ověřeno dle fot. Dok.</t>
  </si>
  <si>
    <t>Naopak, vzniká vám tímto značná úspora v zemních práce, délce realizace a její náročnosti. Pokud by docházelo k vysazení odboček přesně, nemuselo by k vysazování docházet. Kolena nejsou vysazována z technických důvodů.</t>
  </si>
  <si>
    <t>Ano prováděno, ale jak si představujete fakturaci VRN do poloviny příštího roku? Jelikož se jedná o položku určenou na celou délku trvání realizace a na celý rozsah projektu, nelze ji dofakturovat v prosinci a příští rok žádat o vícenáklad</t>
  </si>
  <si>
    <t>jak tedy budeme fakturovat</t>
  </si>
  <si>
    <t>mě už je to jedno</t>
  </si>
  <si>
    <t>jak jsem psal od Š 14 bylo paženo, předtím samozřejmě nějaká výdřeva a GEO</t>
  </si>
  <si>
    <t>pošlu a pro účely této fakturace  mažu</t>
  </si>
  <si>
    <t>patří ke startovcí a cílové jámě protlaku, což předtím nebylo fakturováno</t>
  </si>
  <si>
    <t>upraverno</t>
  </si>
  <si>
    <t>upraveno</t>
  </si>
  <si>
    <t>po dohodě oK</t>
  </si>
  <si>
    <t>proč jsou tedy uvedeny v dokumentaci a VV, když se nemají používat? Nicméně Ok</t>
  </si>
  <si>
    <t>TDS 11/21</t>
  </si>
  <si>
    <t>328m3 na 20m trub? Upravit dle skut. Délky a vymělčení stoky v lese</t>
  </si>
  <si>
    <t>809m2 na 20m trub? Upravit dle skut délky a vymělčení stoky v lese</t>
  </si>
  <si>
    <t>nesouhlasím s tímto množstvím, prosím ponížit.</t>
  </si>
  <si>
    <t>viz předešlé fakturace.</t>
  </si>
  <si>
    <t>vážní lístky, nebo smazat</t>
  </si>
  <si>
    <t>poznámky viz předchozí fakturace</t>
  </si>
  <si>
    <t>Prosím ponížit dle skutečnosti.</t>
  </si>
  <si>
    <t>viz předchozí vyjádření</t>
  </si>
  <si>
    <t>Upravit dle pokládky trub.</t>
  </si>
  <si>
    <t>viz ostatní</t>
  </si>
  <si>
    <t>kde použito?</t>
  </si>
  <si>
    <t>upravit dle pokládky</t>
  </si>
  <si>
    <t>Kde použito 15ks kolen dle PD prosím?</t>
  </si>
  <si>
    <t>smazáno</t>
  </si>
  <si>
    <t xml:space="preserve">jde o to, že ve skutečnosti bylo provedeno více metrů než je fakturováno, i díky tomu, že ponecháváme 5 % ve fakturaci, i když k dokončení zbývá cca 45 m. Za mě odpovídá skutečnému stavu i s předpokládanou úsporou na vymělčení </t>
  </si>
  <si>
    <t>přepdokládám bude řešeno</t>
  </si>
  <si>
    <t>viz. Výše , dle GZ provedeno 191 m</t>
  </si>
  <si>
    <t xml:space="preserve">viz. Všechny stoky </t>
  </si>
  <si>
    <t>úlet - smazáno</t>
  </si>
  <si>
    <t>viz. Ostatní stoky</t>
  </si>
  <si>
    <t>viz. Ostatní stoky ZL</t>
  </si>
  <si>
    <t xml:space="preserve">odpovídá kutečnosti </t>
  </si>
  <si>
    <t xml:space="preserve">viz. Ostatní stoky </t>
  </si>
  <si>
    <t xml:space="preserve">odpovídá </t>
  </si>
  <si>
    <t xml:space="preserve">viz. Oststní stoky </t>
  </si>
  <si>
    <t>TDS 12/21</t>
  </si>
  <si>
    <t>viz předchozí fakturaci, zašlete návrh prosím, ať již dořešíme s projektantem a Obj naše stanovisko. Jinak přefakturovat nellze prosím.</t>
  </si>
  <si>
    <t>viz B.3</t>
  </si>
  <si>
    <t>Viz B.3</t>
  </si>
  <si>
    <t>Neodsouhlasená pokládka v jiné hl. uložení. Nutno dořešit, pak řešit fakturaci</t>
  </si>
  <si>
    <t>nesouhlas viz B.3</t>
  </si>
  <si>
    <t>Nutno používat boxy, nebo minimálně výdřevu. Aktuálně neplněno v plném rozsahu.</t>
  </si>
  <si>
    <t>ušetřil jste 2500, my prodělli za štěrky na provizorní úpravy před Vanocemi 50000. Gratuluju.</t>
  </si>
  <si>
    <t>nesouhlaím, vzhledem k tomu, že jsme podcházeli vodovod, který byl nasondovaný, tak nevidím důvod nefakturovat. Spíš by jste měli zaplatit něco navíc</t>
  </si>
  <si>
    <t>Prosím ponechat drobné zbytky za des. Čárkou</t>
  </si>
  <si>
    <t>TDS 1/22</t>
  </si>
  <si>
    <t>Prosím zaslat odpočty na nerealizovaný úsek. Nutno ponížit soupis o 5% + odpočet</t>
  </si>
  <si>
    <t>Návrh na ZL, pak bude řešeno</t>
  </si>
  <si>
    <t>není navráceno. Použit výkopek</t>
  </si>
  <si>
    <t>Návrh zL</t>
  </si>
  <si>
    <t>Návrh ZL</t>
  </si>
  <si>
    <t>Prosím doložit</t>
  </si>
  <si>
    <t>Jaké prosím?</t>
  </si>
  <si>
    <t>dle TP</t>
  </si>
  <si>
    <t>ano</t>
  </si>
  <si>
    <t>úplně nerozumím</t>
  </si>
  <si>
    <t xml:space="preserve">to už nepůjde, štěrk tam je </t>
  </si>
  <si>
    <t xml:space="preserve">není pravda, štěrk tam je </t>
  </si>
  <si>
    <t>Jak bylo provedeno 0,03 kusu?</t>
  </si>
  <si>
    <t>Dojedu se tam znovu podívat, ale dle pochůzek na místě nebyl použit všude. Proto píši poznámku.</t>
  </si>
  <si>
    <t>Kde toto množství?</t>
  </si>
  <si>
    <t>Dle TP se jedná o standardní položky, ne zvláští požadavky.</t>
  </si>
  <si>
    <t>TDS 2/22</t>
  </si>
  <si>
    <t>nepoužito</t>
  </si>
  <si>
    <t>kde prováděno?</t>
  </si>
  <si>
    <t>provádí Obj.</t>
  </si>
  <si>
    <t>nelze přefakturovat</t>
  </si>
  <si>
    <t>Nutno doložit protokoly</t>
  </si>
  <si>
    <t>Prosím opravit výměry dle neprovedeného úseku + 5%</t>
  </si>
  <si>
    <t>kdy provedeno, realizace VaK MB?</t>
  </si>
  <si>
    <t>opr</t>
  </si>
  <si>
    <t>To jsou podle mě vývrty na spadiště, a jelikož objednáváme skruže s otvory (dražší) mtak toto beru jako příplatek. Skruže jsou v rozpočtu za jednotnou cenu</t>
  </si>
  <si>
    <t xml:space="preserve">nevěřím, že by bylo bez pažení, úplně </t>
  </si>
  <si>
    <t>To je v té staré zástavbě už z minulého roku</t>
  </si>
  <si>
    <t xml:space="preserve">toto je pouze přípomoc dle tuším dotazů k soutěži. Proto i taková cena </t>
  </si>
  <si>
    <t>TDS 3/22</t>
  </si>
  <si>
    <t>kde provedeno prosím?</t>
  </si>
  <si>
    <t>Pokládka úseku v lese nelze fakturovat s pažícími boxy</t>
  </si>
  <si>
    <t>Není dokončeno v této míře. Prosím ponížit.</t>
  </si>
  <si>
    <t>Není dokončeno v celé délce stoky A</t>
  </si>
  <si>
    <t>Proč došlo minulý měsíc k přefakturaci. Nutno opravit</t>
  </si>
  <si>
    <t>Nutno odsouhlasit s Obj.</t>
  </si>
  <si>
    <t>prosím kde použito?</t>
  </si>
  <si>
    <t>Nutno ponecaht min. 5%
Položky nelze přefakturovat
Fakturace 2/22</t>
  </si>
  <si>
    <t>Nutno ponecaht min. 5%
Položky nelze přefakturovat
Fakturace 6/2020</t>
  </si>
  <si>
    <t>Prosím kde použito? Nesouhlasím</t>
  </si>
  <si>
    <t>Prosím specifikovat, případně zda proběhla domluva s Obj.?</t>
  </si>
  <si>
    <t>Prosím upřesnit, o jaké se jedná?</t>
  </si>
  <si>
    <t>dle TP, provizorní povrchy .-….</t>
  </si>
  <si>
    <t xml:space="preserve">nechávám 3 %, protože je tato stoka dle zamření delší, kvůli posunu šachty z důvodu přípojky </t>
  </si>
  <si>
    <t>vývrty do spadišť</t>
  </si>
  <si>
    <t xml:space="preserve">poníženo, ale jedná se i o propojení na ČSOV Písková Lhota </t>
  </si>
  <si>
    <t>31.04.2022</t>
  </si>
  <si>
    <t>Prosím o ponížení o objem ŠD, který nebyl použit v trase stoky B v oblsati "PL Jih", kde neproběhla obnova komunikací pod projektem</t>
  </si>
  <si>
    <t>Není dokončena kontrola těstnosti šachet.</t>
  </si>
  <si>
    <t>TDS 6/22</t>
  </si>
  <si>
    <t>nedokončeno v tomto rozsahu k 30.6.22</t>
  </si>
  <si>
    <t>opravdu dochází k nákupu nových kostek?</t>
  </si>
  <si>
    <t>TDS 06/22</t>
  </si>
  <si>
    <t>Prosím o sdělení, zda se jedná o fakturaci za 06/22? Pokud ani, nutno dořešit připomínky</t>
  </si>
  <si>
    <t>Prosím ponechat min. 10%. Stavba ještě není na úplném konci.</t>
  </si>
  <si>
    <t>jasně</t>
  </si>
  <si>
    <t xml:space="preserve">proto se přeci fakturuje jen polovina </t>
  </si>
  <si>
    <t>Na za čátku se přeci štěrk dával všude a až někdy na podzim bylo rozhodnuto o nedávání štěrku, kvůli recyklaci. Takže toto by mělo být správně a teď je to za tu komunikaci u Kocandy</t>
  </si>
  <si>
    <t>To je pořád dokola, dle TP jde i o sondy podzemních zařízení.</t>
  </si>
  <si>
    <t>dle TP to je prakticky cokoliv a to jsem provedli :-)</t>
  </si>
  <si>
    <t>OBJEKT : A -Stoka A</t>
  </si>
  <si>
    <t>Vícepráce - méněpráce</t>
  </si>
  <si>
    <t>J.C.</t>
  </si>
  <si>
    <t>Celková cena</t>
  </si>
  <si>
    <t>Cena dle realizace</t>
  </si>
  <si>
    <t xml:space="preserve"> </t>
  </si>
  <si>
    <t>j. cena</t>
  </si>
  <si>
    <t>Vícepráce - méněpráce;</t>
  </si>
  <si>
    <t>Celkem dle realizace</t>
  </si>
  <si>
    <t>poměrný přepočet na délku (m) v tabulce geodeta</t>
  </si>
  <si>
    <t>Nová cena dle realizace</t>
  </si>
  <si>
    <t>rozdíl délek</t>
  </si>
  <si>
    <t>Nové množství po ZM 47</t>
  </si>
  <si>
    <t>Autorský dozor:</t>
  </si>
  <si>
    <t>Objednatel:</t>
  </si>
  <si>
    <t>Zhotovitel:                                       Správce stavby:</t>
  </si>
  <si>
    <t>Dne:                                                  Dne:</t>
  </si>
  <si>
    <t>Správce stavby: Ing. Jan Mucha</t>
  </si>
  <si>
    <t>PÍSKOVÁ LHOTA, ZÁMOSTÍ SPLAŠKOVÁ KANALIZACE- Uznatelné náklady stavby, doměrky</t>
  </si>
  <si>
    <t>Fakturace 2022/12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</si>
</sst>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\ &quot;Kč&quot;"/>
    <numFmt numFmtId="166" formatCode="#,##0.00\ [$€-1]"/>
    <numFmt numFmtId="167" formatCode="0_ ;\-0\ "/>
    <numFmt numFmtId="168" formatCode="d/m/yyyy;@"/>
    <numFmt numFmtId="169" formatCode="#,##0.000"/>
    <numFmt numFmtId="170" formatCode="_-* #,##0.00\ [$€-1]_-;\-* #,##0.00\ [$€-1]_-;_-* &quot;-&quot;??\ [$€-1]_-;_-@_-"/>
    <numFmt numFmtId="171" formatCode="_-* #,##0\ _K_č_-;\-* #,##0\ _K_č_-;_-* &quot;-&quot;??\ _K_č_-;_-@_-"/>
    <numFmt numFmtId="172" formatCode="#,##0.00\ &quot;Kč&quot;"/>
    <numFmt numFmtId="173" formatCode="#,##0.00_ ;\-#,##0.00\ "/>
  </numFmts>
  <fonts count="99" x14ac:knownFonts="1">
    <font>
      <sz val="8"/>
      <name val="Arial CE"/>
      <family val="2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Arial CE"/>
      <family val="2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</font>
    <font>
      <sz val="12"/>
      <color indexed="60"/>
      <name val="Arial"/>
      <family val="2"/>
      <charset val="238"/>
    </font>
    <font>
      <b/>
      <sz val="12"/>
      <color indexed="18"/>
      <name val="Arial"/>
      <family val="2"/>
      <charset val="238"/>
    </font>
    <font>
      <sz val="12"/>
      <color indexed="18"/>
      <name val="Arial"/>
      <family val="2"/>
      <charset val="238"/>
    </font>
    <font>
      <sz val="12"/>
      <color indexed="17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color indexed="60"/>
      <name val="Arial CE"/>
      <family val="2"/>
      <charset val="238"/>
    </font>
    <font>
      <b/>
      <sz val="12"/>
      <color indexed="18"/>
      <name val="Arial CE"/>
      <family val="2"/>
      <charset val="238"/>
    </font>
    <font>
      <sz val="12"/>
      <color indexed="18"/>
      <name val="Arial CE"/>
      <family val="2"/>
      <charset val="238"/>
    </font>
    <font>
      <sz val="12"/>
      <color indexed="17"/>
      <name val="Arial CE"/>
      <family val="2"/>
      <charset val="238"/>
    </font>
    <font>
      <sz val="12"/>
      <color indexed="10"/>
      <name val="Arial CE"/>
      <family val="2"/>
      <charset val="238"/>
    </font>
    <font>
      <b/>
      <sz val="12"/>
      <name val="Arial"/>
      <family val="2"/>
    </font>
    <font>
      <sz val="8"/>
      <name val="Arial"/>
      <family val="2"/>
      <charset val="238"/>
    </font>
    <font>
      <b/>
      <sz val="8"/>
      <color indexed="12"/>
      <name val="Arial"/>
      <family val="2"/>
    </font>
    <font>
      <sz val="8"/>
      <color indexed="18"/>
      <name val="Arial"/>
      <family val="2"/>
      <charset val="238"/>
    </font>
    <font>
      <b/>
      <sz val="8"/>
      <name val="Arial"/>
      <family val="2"/>
    </font>
    <font>
      <sz val="8"/>
      <name val="Arial CE"/>
      <family val="2"/>
      <charset val="238"/>
    </font>
    <font>
      <sz val="8"/>
      <color indexed="17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name val="Arial CE"/>
      <family val="2"/>
      <charset val="238"/>
    </font>
    <font>
      <b/>
      <sz val="9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17"/>
      <name val="Arial"/>
      <family val="2"/>
    </font>
    <font>
      <b/>
      <sz val="9"/>
      <color indexed="10"/>
      <name val="Arial"/>
      <family val="2"/>
    </font>
    <font>
      <b/>
      <sz val="9"/>
      <color indexed="17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color theme="5" tint="-0.249977111117893"/>
      <name val="Arial CE"/>
      <family val="2"/>
      <charset val="238"/>
    </font>
    <font>
      <b/>
      <sz val="12"/>
      <color indexed="18"/>
      <name val="Arial"/>
      <family val="2"/>
    </font>
    <font>
      <b/>
      <sz val="12"/>
      <color indexed="17"/>
      <name val="Arial"/>
      <family val="2"/>
    </font>
    <font>
      <b/>
      <sz val="12"/>
      <color indexed="17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color indexed="60"/>
      <name val="Arial CE"/>
      <family val="2"/>
      <charset val="238"/>
    </font>
    <font>
      <sz val="9"/>
      <color indexed="17"/>
      <name val="Arial"/>
      <family val="2"/>
    </font>
    <font>
      <sz val="9"/>
      <color indexed="17"/>
      <name val="Arial CE"/>
      <family val="2"/>
      <charset val="238"/>
    </font>
    <font>
      <sz val="9"/>
      <color indexed="10"/>
      <name val="Arial"/>
      <family val="2"/>
    </font>
    <font>
      <sz val="9"/>
      <color indexed="10"/>
      <name val="Arial CE"/>
      <family val="2"/>
      <charset val="238"/>
    </font>
    <font>
      <sz val="10"/>
      <color indexed="60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60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"/>
      <family val="2"/>
      <charset val="238"/>
    </font>
    <font>
      <b/>
      <sz val="9"/>
      <color indexed="60"/>
      <name val="Arial CE"/>
      <family val="2"/>
      <charset val="238"/>
    </font>
    <font>
      <b/>
      <sz val="9"/>
      <color indexed="18"/>
      <name val="Arial CE"/>
      <family val="2"/>
      <charset val="238"/>
    </font>
    <font>
      <b/>
      <sz val="9"/>
      <color indexed="17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9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sz val="9"/>
      <color indexed="18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22"/>
      <name val="Arial CE"/>
      <family val="2"/>
      <charset val="238"/>
    </font>
    <font>
      <sz val="9"/>
      <color indexed="9"/>
      <name val="Arial"/>
      <family val="2"/>
      <charset val="238"/>
    </font>
    <font>
      <sz val="10"/>
      <color indexed="9"/>
      <name val="Arial CE"/>
      <family val="2"/>
      <charset val="238"/>
    </font>
    <font>
      <sz val="9"/>
      <color rgb="FFFF0000"/>
      <name val="Arial"/>
      <family val="2"/>
    </font>
    <font>
      <b/>
      <sz val="11"/>
      <color indexed="10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indexed="17"/>
      <name val="Arial"/>
      <family val="2"/>
    </font>
    <font>
      <b/>
      <sz val="9"/>
      <color theme="0"/>
      <name val="Arial CE"/>
      <family val="2"/>
      <charset val="238"/>
    </font>
    <font>
      <sz val="9"/>
      <color theme="0"/>
      <name val="Arial"/>
      <family val="2"/>
      <charset val="238"/>
    </font>
    <font>
      <sz val="8"/>
      <color theme="0"/>
      <name val="Arial CE"/>
      <family val="2"/>
    </font>
    <font>
      <b/>
      <sz val="9"/>
      <color theme="6" tint="-0.249977111117893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9"/>
      <color theme="6" tint="-0.249977111117893"/>
      <name val="Arial CE"/>
      <family val="2"/>
      <charset val="238"/>
    </font>
    <font>
      <b/>
      <sz val="9"/>
      <color theme="6" tint="-0.249977111117893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 CE"/>
      <family val="2"/>
      <charset val="238"/>
    </font>
    <font>
      <sz val="9"/>
      <color rgb="FFFF0000"/>
      <name val="Arial"/>
      <family val="2"/>
      <charset val="238"/>
    </font>
    <font>
      <b/>
      <sz val="9"/>
      <color theme="6" tint="-0.249977111117893"/>
      <name val="Arial"/>
      <family val="2"/>
    </font>
    <font>
      <sz val="8"/>
      <color theme="3"/>
      <name val="Arial CE"/>
      <family val="2"/>
      <charset val="238"/>
    </font>
    <font>
      <sz val="10"/>
      <color theme="3"/>
      <name val="Arial CE"/>
      <family val="2"/>
      <charset val="238"/>
    </font>
    <font>
      <sz val="9"/>
      <color theme="3"/>
      <name val="Arial CE"/>
      <family val="2"/>
      <charset val="238"/>
    </font>
    <font>
      <b/>
      <sz val="9"/>
      <color theme="3"/>
      <name val="Arial"/>
      <family val="2"/>
      <charset val="238"/>
    </font>
    <font>
      <sz val="9"/>
      <color theme="3"/>
      <name val="Arial"/>
      <family val="2"/>
      <charset val="238"/>
    </font>
    <font>
      <sz val="12"/>
      <color theme="3"/>
      <name val="Arial CE"/>
      <family val="2"/>
      <charset val="238"/>
    </font>
    <font>
      <sz val="9"/>
      <color theme="3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9"/>
      <color theme="3"/>
      <name val="Arial"/>
      <family val="2"/>
    </font>
    <font>
      <sz val="9"/>
      <name val="Arial"/>
      <family val="2"/>
    </font>
    <font>
      <sz val="8"/>
      <name val="Arial CE"/>
      <family val="2"/>
      <charset val="1"/>
    </font>
    <font>
      <b/>
      <sz val="12"/>
      <name val="Arial"/>
      <family val="2"/>
      <charset val="238"/>
    </font>
    <font>
      <b/>
      <sz val="12"/>
      <color indexed="17"/>
      <name val="Arial"/>
      <family val="2"/>
      <charset val="238"/>
    </font>
    <font>
      <sz val="11"/>
      <name val="Arial CE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0" fillId="0" borderId="0"/>
    <xf numFmtId="0" fontId="12" fillId="0" borderId="0"/>
    <xf numFmtId="0" fontId="10" fillId="0" borderId="0"/>
    <xf numFmtId="0" fontId="95" fillId="0" borderId="0"/>
  </cellStyleXfs>
  <cellXfs count="357">
    <xf numFmtId="0" fontId="0" fillId="0" borderId="0" xfId="0"/>
    <xf numFmtId="0" fontId="0" fillId="0" borderId="0" xfId="3" applyFont="1" applyBorder="1" applyAlignment="1">
      <alignment horizontal="right"/>
    </xf>
    <xf numFmtId="0" fontId="33" fillId="0" borderId="0" xfId="3" applyFont="1" applyBorder="1" applyAlignment="1">
      <alignment vertical="center"/>
    </xf>
    <xf numFmtId="42" fontId="33" fillId="0" borderId="0" xfId="3" applyNumberFormat="1" applyFont="1" applyBorder="1" applyAlignment="1">
      <alignment horizontal="center" vertical="center" wrapText="1"/>
    </xf>
    <xf numFmtId="170" fontId="38" fillId="0" borderId="0" xfId="3" applyNumberFormat="1" applyFont="1" applyBorder="1" applyAlignment="1">
      <alignment horizontal="center" vertical="center" wrapText="1"/>
    </xf>
    <xf numFmtId="170" fontId="39" fillId="0" borderId="0" xfId="3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171" fontId="2" fillId="0" borderId="0" xfId="0" applyNumberFormat="1" applyFont="1" applyFill="1" applyBorder="1" applyAlignment="1">
      <alignment vertical="center"/>
    </xf>
    <xf numFmtId="0" fontId="0" fillId="0" borderId="0" xfId="0" applyBorder="1"/>
    <xf numFmtId="0" fontId="13" fillId="0" borderId="0" xfId="0" applyFont="1" applyBorder="1"/>
    <xf numFmtId="0" fontId="51" fillId="0" borderId="0" xfId="0" applyFont="1" applyBorder="1"/>
    <xf numFmtId="165" fontId="13" fillId="0" borderId="0" xfId="4" applyNumberFormat="1" applyFont="1" applyBorder="1" applyAlignment="1">
      <alignment horizontal="right"/>
    </xf>
    <xf numFmtId="42" fontId="13" fillId="0" borderId="0" xfId="0" applyNumberFormat="1" applyFont="1" applyBorder="1" applyAlignment="1"/>
    <xf numFmtId="0" fontId="11" fillId="0" borderId="0" xfId="3" applyFont="1" applyBorder="1"/>
    <xf numFmtId="0" fontId="53" fillId="0" borderId="0" xfId="0" applyFont="1" applyBorder="1"/>
    <xf numFmtId="0" fontId="33" fillId="0" borderId="0" xfId="5" applyFont="1" applyFill="1" applyBorder="1"/>
    <xf numFmtId="0" fontId="33" fillId="0" borderId="5" xfId="5" applyFont="1" applyFill="1" applyBorder="1"/>
    <xf numFmtId="0" fontId="33" fillId="0" borderId="1" xfId="5" applyFont="1" applyFill="1" applyBorder="1"/>
    <xf numFmtId="49" fontId="57" fillId="0" borderId="1" xfId="5" applyNumberFormat="1" applyFont="1" applyFill="1" applyBorder="1" applyAlignment="1" applyProtection="1">
      <alignment horizontal="center" vertical="center"/>
    </xf>
    <xf numFmtId="169" fontId="57" fillId="0" borderId="1" xfId="5" applyNumberFormat="1" applyFont="1" applyFill="1" applyBorder="1" applyAlignment="1" applyProtection="1">
      <alignment horizontal="center" vertical="center"/>
    </xf>
    <xf numFmtId="9" fontId="57" fillId="0" borderId="1" xfId="5" applyNumberFormat="1" applyFont="1" applyFill="1" applyBorder="1" applyAlignment="1" applyProtection="1">
      <alignment horizontal="center" vertical="center"/>
    </xf>
    <xf numFmtId="44" fontId="53" fillId="0" borderId="1" xfId="5" applyNumberFormat="1" applyFont="1" applyFill="1" applyBorder="1" applyAlignment="1" applyProtection="1">
      <alignment horizontal="center" vertical="center"/>
    </xf>
    <xf numFmtId="170" fontId="58" fillId="0" borderId="1" xfId="3" applyNumberFormat="1" applyFont="1" applyBorder="1" applyAlignment="1">
      <alignment horizontal="center" vertical="center"/>
    </xf>
    <xf numFmtId="170" fontId="58" fillId="0" borderId="1" xfId="3" applyNumberFormat="1" applyFont="1" applyBorder="1" applyAlignment="1">
      <alignment horizontal="center" vertical="center" wrapText="1"/>
    </xf>
    <xf numFmtId="170" fontId="59" fillId="0" borderId="1" xfId="3" applyNumberFormat="1" applyFont="1" applyBorder="1" applyAlignment="1">
      <alignment horizontal="center" vertical="center"/>
    </xf>
    <xf numFmtId="170" fontId="60" fillId="0" borderId="1" xfId="3" applyNumberFormat="1" applyFont="1" applyBorder="1" applyAlignment="1">
      <alignment horizontal="center" vertical="center"/>
    </xf>
    <xf numFmtId="170" fontId="60" fillId="0" borderId="1" xfId="3" applyNumberFormat="1" applyFont="1" applyBorder="1" applyAlignment="1">
      <alignment horizontal="center" vertical="center" wrapText="1"/>
    </xf>
    <xf numFmtId="170" fontId="61" fillId="0" borderId="1" xfId="3" applyNumberFormat="1" applyFont="1" applyBorder="1" applyAlignment="1">
      <alignment horizontal="center" vertical="center"/>
    </xf>
    <xf numFmtId="170" fontId="61" fillId="0" borderId="1" xfId="3" applyNumberFormat="1" applyFont="1" applyBorder="1" applyAlignment="1">
      <alignment horizontal="center" vertical="center" wrapText="1"/>
    </xf>
    <xf numFmtId="49" fontId="57" fillId="0" borderId="0" xfId="5" applyNumberFormat="1" applyFont="1" applyFill="1" applyBorder="1" applyAlignment="1" applyProtection="1">
      <alignment horizontal="center" vertical="center"/>
    </xf>
    <xf numFmtId="169" fontId="57" fillId="0" borderId="0" xfId="5" applyNumberFormat="1" applyFont="1" applyFill="1" applyBorder="1" applyAlignment="1" applyProtection="1">
      <alignment horizontal="center" vertical="center"/>
    </xf>
    <xf numFmtId="9" fontId="57" fillId="0" borderId="0" xfId="5" applyNumberFormat="1" applyFont="1" applyFill="1" applyBorder="1" applyAlignment="1" applyProtection="1">
      <alignment horizontal="center" vertical="center"/>
    </xf>
    <xf numFmtId="44" fontId="53" fillId="0" borderId="0" xfId="5" applyNumberFormat="1" applyFont="1" applyFill="1" applyBorder="1" applyAlignment="1" applyProtection="1">
      <alignment horizontal="center" vertical="center"/>
    </xf>
    <xf numFmtId="170" fontId="58" fillId="0" borderId="0" xfId="3" applyNumberFormat="1" applyFont="1" applyBorder="1" applyAlignment="1">
      <alignment horizontal="center" vertical="center"/>
    </xf>
    <xf numFmtId="170" fontId="58" fillId="0" borderId="0" xfId="3" applyNumberFormat="1" applyFont="1" applyBorder="1" applyAlignment="1">
      <alignment horizontal="center" vertical="center" wrapText="1"/>
    </xf>
    <xf numFmtId="170" fontId="59" fillId="0" borderId="0" xfId="3" applyNumberFormat="1" applyFont="1" applyBorder="1" applyAlignment="1">
      <alignment horizontal="center" vertical="center" wrapText="1"/>
    </xf>
    <xf numFmtId="170" fontId="59" fillId="0" borderId="0" xfId="3" applyNumberFormat="1" applyFont="1" applyBorder="1" applyAlignment="1">
      <alignment horizontal="center" vertical="center"/>
    </xf>
    <xf numFmtId="170" fontId="59" fillId="0" borderId="0" xfId="3" applyNumberFormat="1" applyFont="1" applyFill="1" applyBorder="1" applyAlignment="1">
      <alignment horizontal="center" vertical="center" wrapText="1"/>
    </xf>
    <xf numFmtId="170" fontId="60" fillId="0" borderId="0" xfId="3" applyNumberFormat="1" applyFont="1" applyBorder="1" applyAlignment="1">
      <alignment horizontal="center" vertical="center"/>
    </xf>
    <xf numFmtId="170" fontId="60" fillId="0" borderId="0" xfId="3" applyNumberFormat="1" applyFont="1" applyBorder="1" applyAlignment="1">
      <alignment horizontal="center" vertical="center" wrapText="1"/>
    </xf>
    <xf numFmtId="170" fontId="61" fillId="0" borderId="0" xfId="3" applyNumberFormat="1" applyFont="1" applyBorder="1" applyAlignment="1">
      <alignment horizontal="center" vertical="center"/>
    </xf>
    <xf numFmtId="170" fontId="61" fillId="0" borderId="0" xfId="3" applyNumberFormat="1" applyFont="1" applyBorder="1" applyAlignment="1">
      <alignment horizontal="center" vertical="center" wrapText="1"/>
    </xf>
    <xf numFmtId="0" fontId="0" fillId="4" borderId="0" xfId="0" applyFill="1" applyBorder="1"/>
    <xf numFmtId="49" fontId="65" fillId="4" borderId="0" xfId="0" applyNumberFormat="1" applyFont="1" applyFill="1" applyBorder="1" applyAlignment="1" applyProtection="1">
      <alignment horizontal="left" vertical="center"/>
    </xf>
    <xf numFmtId="0" fontId="56" fillId="4" borderId="0" xfId="0" applyFont="1" applyFill="1" applyBorder="1"/>
    <xf numFmtId="2" fontId="56" fillId="4" borderId="0" xfId="0" applyNumberFormat="1" applyFont="1" applyFill="1" applyBorder="1"/>
    <xf numFmtId="44" fontId="53" fillId="4" borderId="0" xfId="0" applyNumberFormat="1" applyFont="1" applyFill="1" applyBorder="1"/>
    <xf numFmtId="0" fontId="51" fillId="4" borderId="0" xfId="0" applyFont="1" applyFill="1" applyBorder="1"/>
    <xf numFmtId="0" fontId="66" fillId="4" borderId="0" xfId="0" applyFont="1" applyFill="1" applyBorder="1"/>
    <xf numFmtId="0" fontId="10" fillId="4" borderId="0" xfId="0" applyFont="1" applyFill="1" applyBorder="1"/>
    <xf numFmtId="2" fontId="0" fillId="0" borderId="0" xfId="0" applyNumberFormat="1" applyBorder="1"/>
    <xf numFmtId="173" fontId="67" fillId="0" borderId="0" xfId="3" applyNumberFormat="1" applyFont="1" applyBorder="1" applyAlignment="1">
      <alignment horizontal="right" vertical="center" wrapText="1"/>
    </xf>
    <xf numFmtId="0" fontId="68" fillId="0" borderId="0" xfId="0" applyFont="1" applyBorder="1"/>
    <xf numFmtId="173" fontId="67" fillId="0" borderId="0" xfId="3" applyNumberFormat="1" applyFont="1" applyBorder="1" applyAlignment="1">
      <alignment horizontal="right" vertical="center"/>
    </xf>
    <xf numFmtId="173" fontId="67" fillId="0" borderId="0" xfId="3" applyNumberFormat="1" applyFont="1" applyFill="1" applyBorder="1" applyAlignment="1">
      <alignment horizontal="right" vertical="center"/>
    </xf>
    <xf numFmtId="170" fontId="61" fillId="0" borderId="6" xfId="3" applyNumberFormat="1" applyFont="1" applyBorder="1" applyAlignment="1">
      <alignment horizontal="center" vertical="center" wrapText="1"/>
    </xf>
    <xf numFmtId="0" fontId="0" fillId="0" borderId="7" xfId="0" applyFont="1" applyBorder="1" applyAlignment="1" applyProtection="1">
      <alignment horizontal="center" vertical="center"/>
    </xf>
    <xf numFmtId="49" fontId="0" fillId="0" borderId="7" xfId="0" applyNumberFormat="1" applyFont="1" applyBorder="1" applyAlignment="1" applyProtection="1">
      <alignment horizontal="left" vertical="center" wrapText="1"/>
    </xf>
    <xf numFmtId="0" fontId="0" fillId="0" borderId="7" xfId="0" applyFont="1" applyBorder="1" applyAlignment="1" applyProtection="1">
      <alignment horizontal="left" vertical="center" wrapText="1"/>
    </xf>
    <xf numFmtId="0" fontId="0" fillId="0" borderId="7" xfId="0" applyFont="1" applyBorder="1" applyAlignment="1" applyProtection="1">
      <alignment horizontal="center" vertical="center" wrapText="1"/>
    </xf>
    <xf numFmtId="4" fontId="0" fillId="0" borderId="7" xfId="0" applyNumberFormat="1" applyFont="1" applyBorder="1" applyAlignment="1" applyProtection="1">
      <alignment vertical="center"/>
    </xf>
    <xf numFmtId="4" fontId="0" fillId="2" borderId="7" xfId="0" applyNumberFormat="1" applyFont="1" applyFill="1" applyBorder="1" applyAlignment="1" applyProtection="1">
      <alignment vertical="center"/>
      <protection locked="0"/>
    </xf>
    <xf numFmtId="173" fontId="46" fillId="0" borderId="7" xfId="3" applyNumberFormat="1" applyFont="1" applyBorder="1" applyAlignment="1">
      <alignment horizontal="right" vertical="center" wrapText="1"/>
    </xf>
    <xf numFmtId="172" fontId="46" fillId="0" borderId="7" xfId="3" applyNumberFormat="1" applyFont="1" applyBorder="1" applyAlignment="1">
      <alignment vertical="center" wrapText="1"/>
    </xf>
    <xf numFmtId="173" fontId="62" fillId="0" borderId="7" xfId="3" applyNumberFormat="1" applyFont="1" applyBorder="1" applyAlignment="1">
      <alignment horizontal="right" vertical="center" wrapText="1"/>
    </xf>
    <xf numFmtId="44" fontId="63" fillId="0" borderId="7" xfId="3" applyNumberFormat="1" applyFont="1" applyBorder="1" applyAlignment="1">
      <alignment horizontal="left" vertical="center"/>
    </xf>
    <xf numFmtId="173" fontId="64" fillId="0" borderId="7" xfId="3" applyNumberFormat="1" applyFont="1" applyBorder="1" applyAlignment="1">
      <alignment horizontal="right" vertical="center"/>
    </xf>
    <xf numFmtId="173" fontId="62" fillId="0" borderId="7" xfId="3" applyNumberFormat="1" applyFont="1" applyBorder="1" applyAlignment="1">
      <alignment horizontal="right" vertical="center"/>
    </xf>
    <xf numFmtId="173" fontId="48" fillId="0" borderId="7" xfId="3" applyNumberFormat="1" applyFont="1" applyBorder="1" applyAlignment="1">
      <alignment horizontal="right" vertical="center"/>
    </xf>
    <xf numFmtId="172" fontId="48" fillId="0" borderId="7" xfId="3" applyNumberFormat="1" applyFont="1" applyBorder="1" applyAlignment="1">
      <alignment vertical="center"/>
    </xf>
    <xf numFmtId="10" fontId="47" fillId="0" borderId="7" xfId="2" applyNumberFormat="1" applyFont="1" applyBorder="1" applyAlignment="1">
      <alignment horizontal="right" vertical="center"/>
    </xf>
    <xf numFmtId="4" fontId="49" fillId="0" borderId="7" xfId="2" applyNumberFormat="1" applyFont="1" applyBorder="1" applyAlignment="1">
      <alignment horizontal="right" vertical="center"/>
    </xf>
    <xf numFmtId="172" fontId="50" fillId="0" borderId="7" xfId="3" applyNumberFormat="1" applyFont="1" applyBorder="1" applyAlignment="1">
      <alignment vertical="center"/>
    </xf>
    <xf numFmtId="0" fontId="7" fillId="0" borderId="7" xfId="0" applyFont="1" applyBorder="1" applyAlignment="1" applyProtection="1">
      <alignment horizontal="center" vertical="center"/>
    </xf>
    <xf numFmtId="49" fontId="7" fillId="0" borderId="7" xfId="0" applyNumberFormat="1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center" vertical="center" wrapText="1"/>
    </xf>
    <xf numFmtId="4" fontId="7" fillId="0" borderId="7" xfId="0" applyNumberFormat="1" applyFont="1" applyBorder="1" applyAlignment="1" applyProtection="1">
      <alignment vertical="center"/>
    </xf>
    <xf numFmtId="4" fontId="7" fillId="2" borderId="7" xfId="0" applyNumberFormat="1" applyFont="1" applyFill="1" applyBorder="1" applyAlignment="1" applyProtection="1">
      <alignment vertical="center"/>
      <protection locked="0"/>
    </xf>
    <xf numFmtId="0" fontId="5" fillId="0" borderId="7" xfId="0" applyFont="1" applyBorder="1" applyAlignment="1" applyProtection="1"/>
    <xf numFmtId="0" fontId="5" fillId="0" borderId="7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left"/>
    </xf>
    <xf numFmtId="0" fontId="5" fillId="0" borderId="7" xfId="0" applyFont="1" applyBorder="1" applyAlignment="1" applyProtection="1">
      <protection locked="0"/>
    </xf>
    <xf numFmtId="4" fontId="4" fillId="0" borderId="7" xfId="0" applyNumberFormat="1" applyFont="1" applyBorder="1" applyAlignment="1" applyProtection="1"/>
    <xf numFmtId="0" fontId="3" fillId="0" borderId="7" xfId="0" applyFont="1" applyBorder="1" applyAlignment="1" applyProtection="1">
      <alignment horizontal="left"/>
    </xf>
    <xf numFmtId="4" fontId="3" fillId="0" borderId="7" xfId="0" applyNumberFormat="1" applyFont="1" applyBorder="1" applyAlignment="1" applyProtection="1"/>
    <xf numFmtId="170" fontId="59" fillId="0" borderId="1" xfId="3" applyNumberFormat="1" applyFont="1" applyBorder="1" applyAlignment="1">
      <alignment horizontal="center" vertical="center" wrapText="1"/>
    </xf>
    <xf numFmtId="0" fontId="0" fillId="0" borderId="0" xfId="0" applyBorder="1" applyAlignment="1"/>
    <xf numFmtId="0" fontId="9" fillId="0" borderId="0" xfId="0" applyFont="1" applyBorder="1"/>
    <xf numFmtId="42" fontId="14" fillId="0" borderId="0" xfId="3" applyNumberFormat="1" applyFont="1" applyBorder="1" applyAlignment="1">
      <alignment horizontal="left"/>
    </xf>
    <xf numFmtId="0" fontId="15" fillId="0" borderId="0" xfId="0" applyFont="1" applyBorder="1"/>
    <xf numFmtId="42" fontId="10" fillId="0" borderId="0" xfId="3" applyNumberFormat="1" applyFont="1" applyBorder="1" applyAlignment="1"/>
    <xf numFmtId="0" fontId="16" fillId="0" borderId="0" xfId="0" applyFont="1" applyBorder="1"/>
    <xf numFmtId="44" fontId="16" fillId="0" borderId="0" xfId="0" applyNumberFormat="1" applyFont="1" applyBorder="1"/>
    <xf numFmtId="44" fontId="17" fillId="0" borderId="0" xfId="0" applyNumberFormat="1" applyFont="1" applyBorder="1"/>
    <xf numFmtId="0" fontId="18" fillId="0" borderId="0" xfId="0" applyFont="1" applyBorder="1"/>
    <xf numFmtId="166" fontId="18" fillId="0" borderId="0" xfId="0" applyNumberFormat="1" applyFont="1" applyBorder="1"/>
    <xf numFmtId="0" fontId="19" fillId="0" borderId="0" xfId="0" applyFont="1" applyBorder="1"/>
    <xf numFmtId="0" fontId="20" fillId="0" borderId="0" xfId="3" applyFont="1" applyBorder="1"/>
    <xf numFmtId="0" fontId="21" fillId="0" borderId="0" xfId="3" applyFont="1" applyBorder="1"/>
    <xf numFmtId="44" fontId="21" fillId="0" borderId="0" xfId="3" applyNumberFormat="1" applyFont="1" applyBorder="1"/>
    <xf numFmtId="44" fontId="22" fillId="0" borderId="0" xfId="3" applyNumberFormat="1" applyFont="1" applyBorder="1"/>
    <xf numFmtId="0" fontId="23" fillId="0" borderId="0" xfId="3" applyFont="1" applyBorder="1"/>
    <xf numFmtId="166" fontId="23" fillId="0" borderId="0" xfId="3" applyNumberFormat="1" applyFont="1" applyBorder="1"/>
    <xf numFmtId="0" fontId="24" fillId="0" borderId="0" xfId="3" applyFont="1" applyBorder="1"/>
    <xf numFmtId="42" fontId="13" fillId="0" borderId="0" xfId="0" applyNumberFormat="1" applyFont="1" applyBorder="1" applyAlignment="1">
      <alignment horizontal="left"/>
    </xf>
    <xf numFmtId="165" fontId="9" fillId="0" borderId="0" xfId="4" applyNumberFormat="1" applyFont="1" applyBorder="1" applyAlignment="1">
      <alignment horizontal="right"/>
    </xf>
    <xf numFmtId="49" fontId="25" fillId="0" borderId="0" xfId="0" applyNumberFormat="1" applyFont="1" applyBorder="1" applyAlignment="1">
      <alignment horizontal="right"/>
    </xf>
    <xf numFmtId="0" fontId="26" fillId="0" borderId="0" xfId="0" applyFont="1" applyBorder="1"/>
    <xf numFmtId="0" fontId="27" fillId="0" borderId="0" xfId="3" applyFont="1" applyBorder="1"/>
    <xf numFmtId="44" fontId="28" fillId="0" borderId="0" xfId="0" applyNumberFormat="1" applyFont="1" applyFill="1" applyBorder="1"/>
    <xf numFmtId="49" fontId="25" fillId="0" borderId="0" xfId="0" applyNumberFormat="1" applyFont="1" applyFill="1" applyBorder="1" applyAlignment="1">
      <alignment horizontal="right"/>
    </xf>
    <xf numFmtId="168" fontId="25" fillId="0" borderId="0" xfId="0" applyNumberFormat="1" applyFont="1" applyFill="1" applyBorder="1" applyAlignment="1"/>
    <xf numFmtId="0" fontId="29" fillId="0" borderId="0" xfId="3" applyFont="1" applyBorder="1"/>
    <xf numFmtId="0" fontId="30" fillId="0" borderId="0" xfId="3" applyFont="1" applyBorder="1"/>
    <xf numFmtId="44" fontId="28" fillId="0" borderId="0" xfId="0" applyNumberFormat="1" applyFont="1" applyBorder="1"/>
    <xf numFmtId="0" fontId="31" fillId="0" borderId="0" xfId="0" applyFont="1" applyBorder="1"/>
    <xf numFmtId="166" fontId="31" fillId="0" borderId="0" xfId="0" applyNumberFormat="1" applyFont="1" applyBorder="1"/>
    <xf numFmtId="0" fontId="32" fillId="0" borderId="0" xfId="0" applyFont="1" applyBorder="1"/>
    <xf numFmtId="0" fontId="10" fillId="0" borderId="0" xfId="3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4" fontId="40" fillId="0" borderId="0" xfId="0" applyNumberFormat="1" applyFont="1" applyFill="1" applyBorder="1" applyAlignment="1">
      <alignment horizontal="right" vertical="center"/>
    </xf>
    <xf numFmtId="44" fontId="41" fillId="0" borderId="0" xfId="3" applyNumberFormat="1" applyFont="1" applyBorder="1" applyAlignment="1">
      <alignment horizontal="left" vertical="center"/>
    </xf>
    <xf numFmtId="10" fontId="42" fillId="0" borderId="0" xfId="2" applyNumberFormat="1" applyFont="1" applyBorder="1" applyAlignment="1">
      <alignment horizontal="right" vertical="center"/>
    </xf>
    <xf numFmtId="42" fontId="43" fillId="0" borderId="0" xfId="3" applyNumberFormat="1" applyFont="1" applyBorder="1" applyAlignment="1">
      <alignment vertical="center"/>
    </xf>
    <xf numFmtId="0" fontId="44" fillId="0" borderId="0" xfId="0" applyFont="1" applyFill="1" applyBorder="1" applyAlignment="1">
      <alignment vertical="center"/>
    </xf>
    <xf numFmtId="0" fontId="10" fillId="0" borderId="2" xfId="3" applyFont="1" applyBorder="1" applyAlignment="1">
      <alignment vertical="center"/>
    </xf>
    <xf numFmtId="0" fontId="10" fillId="0" borderId="3" xfId="3" applyFont="1" applyBorder="1" applyAlignment="1">
      <alignment vertical="center"/>
    </xf>
    <xf numFmtId="42" fontId="33" fillId="0" borderId="3" xfId="3" applyNumberFormat="1" applyFont="1" applyBorder="1" applyAlignment="1">
      <alignment horizontal="center" vertical="center"/>
    </xf>
    <xf numFmtId="0" fontId="33" fillId="0" borderId="5" xfId="3" applyFont="1" applyBorder="1" applyAlignment="1">
      <alignment vertical="center"/>
    </xf>
    <xf numFmtId="0" fontId="33" fillId="0" borderId="1" xfId="3" applyFont="1" applyBorder="1" applyAlignment="1">
      <alignment vertical="center"/>
    </xf>
    <xf numFmtId="42" fontId="33" fillId="0" borderId="1" xfId="3" applyNumberFormat="1" applyFont="1" applyBorder="1" applyAlignment="1">
      <alignment horizontal="center" vertical="center" wrapText="1"/>
    </xf>
    <xf numFmtId="0" fontId="44" fillId="0" borderId="7" xfId="0" applyFont="1" applyFill="1" applyBorder="1" applyAlignment="1">
      <alignment horizontal="center" vertical="center"/>
    </xf>
    <xf numFmtId="0" fontId="44" fillId="0" borderId="7" xfId="0" applyFont="1" applyFill="1" applyBorder="1" applyAlignment="1">
      <alignment vertical="center"/>
    </xf>
    <xf numFmtId="4" fontId="45" fillId="0" borderId="7" xfId="1" applyNumberFormat="1" applyFont="1" applyFill="1" applyBorder="1" applyAlignment="1">
      <alignment horizontal="right" vertical="center"/>
    </xf>
    <xf numFmtId="44" fontId="48" fillId="0" borderId="7" xfId="3" applyNumberFormat="1" applyFont="1" applyFill="1" applyBorder="1" applyAlignment="1">
      <alignment vertical="center"/>
    </xf>
    <xf numFmtId="10" fontId="49" fillId="0" borderId="7" xfId="2" applyNumberFormat="1" applyFont="1" applyBorder="1" applyAlignment="1">
      <alignment horizontal="right" vertical="center"/>
    </xf>
    <xf numFmtId="44" fontId="50" fillId="0" borderId="7" xfId="3" applyNumberFormat="1" applyFont="1" applyBorder="1" applyAlignment="1">
      <alignment vertical="center"/>
    </xf>
    <xf numFmtId="44" fontId="52" fillId="0" borderId="0" xfId="0" applyNumberFormat="1" applyFont="1" applyBorder="1"/>
    <xf numFmtId="166" fontId="19" fillId="0" borderId="0" xfId="0" applyNumberFormat="1" applyFont="1" applyBorder="1"/>
    <xf numFmtId="44" fontId="52" fillId="0" borderId="0" xfId="3" applyNumberFormat="1" applyFont="1" applyBorder="1"/>
    <xf numFmtId="166" fontId="24" fillId="0" borderId="0" xfId="3" applyNumberFormat="1" applyFont="1" applyBorder="1"/>
    <xf numFmtId="167" fontId="13" fillId="0" borderId="0" xfId="0" applyNumberFormat="1" applyFont="1" applyBorder="1" applyAlignment="1">
      <alignment horizontal="center"/>
    </xf>
    <xf numFmtId="0" fontId="54" fillId="0" borderId="0" xfId="3" applyFont="1" applyBorder="1"/>
    <xf numFmtId="0" fontId="55" fillId="0" borderId="0" xfId="3" applyFont="1" applyBorder="1" applyAlignment="1">
      <alignment horizontal="right"/>
    </xf>
    <xf numFmtId="49" fontId="54" fillId="0" borderId="0" xfId="0" applyNumberFormat="1" applyFont="1" applyBorder="1" applyAlignment="1">
      <alignment horizontal="right"/>
    </xf>
    <xf numFmtId="0" fontId="56" fillId="0" borderId="0" xfId="3" applyFont="1" applyBorder="1" applyAlignment="1">
      <alignment horizontal="right"/>
    </xf>
    <xf numFmtId="0" fontId="56" fillId="0" borderId="0" xfId="0" applyFont="1" applyFill="1" applyBorder="1"/>
    <xf numFmtId="172" fontId="53" fillId="0" borderId="0" xfId="0" applyNumberFormat="1" applyFont="1" applyBorder="1"/>
    <xf numFmtId="0" fontId="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/>
    <xf numFmtId="173" fontId="46" fillId="0" borderId="0" xfId="3" applyNumberFormat="1" applyFont="1" applyBorder="1" applyAlignment="1">
      <alignment horizontal="right" vertical="center" wrapText="1"/>
    </xf>
    <xf numFmtId="172" fontId="46" fillId="0" borderId="0" xfId="3" applyNumberFormat="1" applyFont="1" applyBorder="1" applyAlignment="1">
      <alignment vertical="center" wrapText="1"/>
    </xf>
    <xf numFmtId="173" fontId="62" fillId="0" borderId="0" xfId="3" applyNumberFormat="1" applyFont="1" applyBorder="1" applyAlignment="1">
      <alignment horizontal="right" vertical="center" wrapText="1"/>
    </xf>
    <xf numFmtId="44" fontId="63" fillId="0" borderId="0" xfId="3" applyNumberFormat="1" applyFont="1" applyBorder="1" applyAlignment="1">
      <alignment horizontal="left" vertical="center"/>
    </xf>
    <xf numFmtId="173" fontId="64" fillId="0" borderId="0" xfId="3" applyNumberFormat="1" applyFont="1" applyBorder="1" applyAlignment="1">
      <alignment horizontal="right" vertical="center"/>
    </xf>
    <xf numFmtId="173" fontId="62" fillId="0" borderId="0" xfId="3" applyNumberFormat="1" applyFont="1" applyBorder="1" applyAlignment="1">
      <alignment horizontal="right" vertical="center"/>
    </xf>
    <xf numFmtId="173" fontId="48" fillId="0" borderId="0" xfId="3" applyNumberFormat="1" applyFont="1" applyBorder="1" applyAlignment="1">
      <alignment horizontal="right" vertical="center"/>
    </xf>
    <xf numFmtId="172" fontId="48" fillId="0" borderId="0" xfId="3" applyNumberFormat="1" applyFont="1" applyBorder="1" applyAlignment="1">
      <alignment vertical="center"/>
    </xf>
    <xf numFmtId="4" fontId="49" fillId="0" borderId="0" xfId="2" applyNumberFormat="1" applyFont="1" applyBorder="1" applyAlignment="1">
      <alignment horizontal="right" vertical="center"/>
    </xf>
    <xf numFmtId="172" fontId="50" fillId="0" borderId="0" xfId="3" applyNumberFormat="1" applyFont="1" applyBorder="1" applyAlignment="1">
      <alignment vertical="center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protection locked="0"/>
    </xf>
    <xf numFmtId="4" fontId="3" fillId="0" borderId="0" xfId="0" applyNumberFormat="1" applyFont="1" applyBorder="1" applyAlignment="1" applyProtection="1"/>
    <xf numFmtId="0" fontId="5" fillId="0" borderId="0" xfId="0" applyFont="1" applyBorder="1" applyAlignment="1"/>
    <xf numFmtId="0" fontId="4" fillId="0" borderId="0" xfId="0" applyFont="1" applyBorder="1" applyAlignment="1" applyProtection="1">
      <alignment horizontal="left"/>
    </xf>
    <xf numFmtId="4" fontId="4" fillId="0" borderId="0" xfId="0" applyNumberFormat="1" applyFont="1" applyBorder="1" applyAlignment="1" applyProtection="1"/>
    <xf numFmtId="0" fontId="0" fillId="0" borderId="0" xfId="0" applyBorder="1" applyProtection="1">
      <protection locked="0"/>
    </xf>
    <xf numFmtId="0" fontId="33" fillId="0" borderId="2" xfId="5" applyFont="1" applyFill="1" applyBorder="1"/>
    <xf numFmtId="0" fontId="33" fillId="0" borderId="3" xfId="5" applyFont="1" applyFill="1" applyBorder="1"/>
    <xf numFmtId="0" fontId="33" fillId="0" borderId="3" xfId="5" applyFont="1" applyFill="1" applyBorder="1" applyAlignment="1" applyProtection="1">
      <alignment vertical="center"/>
    </xf>
    <xf numFmtId="0" fontId="33" fillId="0" borderId="3" xfId="5" applyFont="1" applyFill="1" applyBorder="1" applyAlignment="1" applyProtection="1">
      <alignment horizontal="centerContinuous" vertical="center"/>
    </xf>
    <xf numFmtId="44" fontId="53" fillId="0" borderId="3" xfId="5" applyNumberFormat="1" applyFont="1" applyFill="1" applyBorder="1" applyAlignment="1" applyProtection="1">
      <alignment vertical="center"/>
    </xf>
    <xf numFmtId="10" fontId="69" fillId="0" borderId="7" xfId="2" applyNumberFormat="1" applyFont="1" applyBorder="1" applyAlignment="1">
      <alignment horizontal="right" vertical="center"/>
    </xf>
    <xf numFmtId="4" fontId="56" fillId="0" borderId="0" xfId="0" applyNumberFormat="1" applyFont="1" applyFill="1" applyBorder="1"/>
    <xf numFmtId="0" fontId="70" fillId="0" borderId="7" xfId="0" applyFont="1" applyFill="1" applyBorder="1" applyAlignment="1">
      <alignment horizontal="center" vertical="center"/>
    </xf>
    <xf numFmtId="171" fontId="71" fillId="0" borderId="7" xfId="1" applyNumberFormat="1" applyFont="1" applyFill="1" applyBorder="1" applyAlignment="1">
      <alignment horizontal="left" vertical="center"/>
    </xf>
    <xf numFmtId="4" fontId="71" fillId="0" borderId="7" xfId="1" applyNumberFormat="1" applyFont="1" applyFill="1" applyBorder="1" applyAlignment="1">
      <alignment horizontal="right" vertical="center"/>
    </xf>
    <xf numFmtId="10" fontId="72" fillId="0" borderId="7" xfId="2" applyNumberFormat="1" applyFont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5" fillId="0" borderId="0" xfId="0" applyFont="1" applyFill="1" applyBorder="1" applyAlignment="1"/>
    <xf numFmtId="0" fontId="0" fillId="0" borderId="0" xfId="0" applyFont="1" applyFill="1" applyBorder="1" applyAlignment="1">
      <alignment vertical="center" wrapText="1"/>
    </xf>
    <xf numFmtId="0" fontId="33" fillId="5" borderId="0" xfId="5" applyFont="1" applyFill="1" applyBorder="1"/>
    <xf numFmtId="0" fontId="0" fillId="5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horizontal="left" vertical="center"/>
    </xf>
    <xf numFmtId="44" fontId="0" fillId="0" borderId="0" xfId="0" applyNumberFormat="1" applyFont="1" applyFill="1" applyBorder="1" applyAlignment="1">
      <alignment vertical="center"/>
    </xf>
    <xf numFmtId="4" fontId="0" fillId="0" borderId="0" xfId="0" applyNumberFormat="1" applyFont="1" applyBorder="1" applyAlignment="1">
      <alignment vertical="center"/>
    </xf>
    <xf numFmtId="173" fontId="0" fillId="0" borderId="0" xfId="0" applyNumberFormat="1" applyFont="1" applyBorder="1" applyAlignment="1">
      <alignment vertical="center"/>
    </xf>
    <xf numFmtId="173" fontId="0" fillId="5" borderId="0" xfId="0" applyNumberFormat="1" applyFont="1" applyFill="1" applyBorder="1" applyAlignment="1">
      <alignment vertical="center" wrapText="1"/>
    </xf>
    <xf numFmtId="0" fontId="5" fillId="6" borderId="0" xfId="0" applyFont="1" applyFill="1" applyBorder="1" applyAlignment="1"/>
    <xf numFmtId="0" fontId="0" fillId="5" borderId="0" xfId="0" applyFill="1" applyAlignment="1">
      <alignment vertical="center" wrapText="1"/>
    </xf>
    <xf numFmtId="0" fontId="0" fillId="0" borderId="0" xfId="0" applyFill="1" applyBorder="1"/>
    <xf numFmtId="4" fontId="0" fillId="0" borderId="0" xfId="0" applyNumberFormat="1" applyFont="1" applyBorder="1" applyAlignment="1">
      <alignment vertical="center" wrapText="1"/>
    </xf>
    <xf numFmtId="170" fontId="73" fillId="0" borderId="0" xfId="3" applyNumberFormat="1" applyFont="1" applyBorder="1" applyAlignment="1">
      <alignment horizontal="center" vertical="center" wrapText="1"/>
    </xf>
    <xf numFmtId="173" fontId="74" fillId="0" borderId="0" xfId="3" applyNumberFormat="1" applyFont="1" applyBorder="1" applyAlignment="1">
      <alignment horizontal="right" vertical="center"/>
    </xf>
    <xf numFmtId="0" fontId="75" fillId="0" borderId="0" xfId="0" applyFont="1" applyBorder="1"/>
    <xf numFmtId="0" fontId="75" fillId="0" borderId="0" xfId="0" applyFont="1" applyBorder="1" applyAlignment="1">
      <alignment vertical="center"/>
    </xf>
    <xf numFmtId="170" fontId="59" fillId="0" borderId="1" xfId="3" applyNumberFormat="1" applyFont="1" applyBorder="1" applyAlignment="1">
      <alignment vertical="center" wrapText="1"/>
    </xf>
    <xf numFmtId="0" fontId="33" fillId="5" borderId="0" xfId="3" applyFont="1" applyFill="1" applyBorder="1" applyAlignment="1">
      <alignment vertical="center"/>
    </xf>
    <xf numFmtId="0" fontId="33" fillId="0" borderId="0" xfId="3" applyFont="1" applyFill="1" applyBorder="1" applyAlignment="1">
      <alignment vertical="center"/>
    </xf>
    <xf numFmtId="0" fontId="45" fillId="5" borderId="0" xfId="5" applyFont="1" applyFill="1" applyBorder="1"/>
    <xf numFmtId="0" fontId="5" fillId="5" borderId="0" xfId="0" applyFont="1" applyFill="1" applyBorder="1" applyAlignment="1">
      <alignment wrapText="1"/>
    </xf>
    <xf numFmtId="9" fontId="0" fillId="0" borderId="0" xfId="0" applyNumberFormat="1" applyFont="1" applyBorder="1" applyAlignment="1">
      <alignment vertical="center"/>
    </xf>
    <xf numFmtId="9" fontId="0" fillId="5" borderId="0" xfId="0" applyNumberFormat="1" applyFont="1" applyFill="1" applyBorder="1" applyAlignment="1">
      <alignment vertical="center"/>
    </xf>
    <xf numFmtId="0" fontId="0" fillId="5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9" fillId="0" borderId="0" xfId="0" applyFont="1" applyBorder="1" applyAlignment="1">
      <alignment wrapText="1"/>
    </xf>
    <xf numFmtId="0" fontId="11" fillId="0" borderId="0" xfId="3" applyFont="1" applyBorder="1" applyAlignment="1">
      <alignment wrapText="1"/>
    </xf>
    <xf numFmtId="0" fontId="53" fillId="0" borderId="0" xfId="0" applyFont="1" applyBorder="1" applyAlignment="1">
      <alignment wrapText="1"/>
    </xf>
    <xf numFmtId="0" fontId="33" fillId="0" borderId="0" xfId="5" applyFont="1" applyFill="1" applyBorder="1" applyAlignment="1">
      <alignment wrapText="1"/>
    </xf>
    <xf numFmtId="0" fontId="5" fillId="0" borderId="0" xfId="0" applyFont="1" applyBorder="1" applyAlignment="1">
      <alignment wrapText="1"/>
    </xf>
    <xf numFmtId="0" fontId="9" fillId="0" borderId="0" xfId="0" applyFont="1" applyBorder="1" applyAlignment="1"/>
    <xf numFmtId="0" fontId="11" fillId="0" borderId="0" xfId="3" applyFont="1" applyBorder="1" applyAlignment="1"/>
    <xf numFmtId="0" fontId="53" fillId="0" borderId="0" xfId="0" applyFont="1" applyBorder="1" applyAlignment="1"/>
    <xf numFmtId="0" fontId="33" fillId="0" borderId="0" xfId="5" applyFont="1" applyFill="1" applyBorder="1" applyAlignment="1"/>
    <xf numFmtId="0" fontId="33" fillId="5" borderId="0" xfId="5" applyFont="1" applyFill="1" applyBorder="1" applyAlignment="1">
      <alignment wrapText="1"/>
    </xf>
    <xf numFmtId="0" fontId="0" fillId="5" borderId="0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4" fontId="0" fillId="0" borderId="0" xfId="0" applyNumberFormat="1" applyBorder="1" applyAlignment="1"/>
    <xf numFmtId="170" fontId="73" fillId="0" borderId="0" xfId="3" applyNumberFormat="1" applyFont="1" applyFill="1" applyBorder="1" applyAlignment="1">
      <alignment horizontal="center" vertical="center" wrapText="1"/>
    </xf>
    <xf numFmtId="0" fontId="53" fillId="0" borderId="0" xfId="0" applyFont="1" applyFill="1" applyBorder="1"/>
    <xf numFmtId="14" fontId="53" fillId="0" borderId="0" xfId="0" applyNumberFormat="1" applyFont="1" applyFill="1" applyBorder="1" applyAlignment="1">
      <alignment horizontal="center"/>
    </xf>
    <xf numFmtId="169" fontId="35" fillId="0" borderId="3" xfId="0" applyNumberFormat="1" applyFont="1" applyBorder="1" applyAlignment="1">
      <alignment horizontal="center" vertical="center"/>
    </xf>
    <xf numFmtId="170" fontId="76" fillId="0" borderId="1" xfId="3" applyNumberFormat="1" applyFont="1" applyBorder="1" applyAlignment="1">
      <alignment horizontal="center" vertical="center"/>
    </xf>
    <xf numFmtId="170" fontId="76" fillId="0" borderId="1" xfId="3" applyNumberFormat="1" applyFont="1" applyBorder="1" applyAlignment="1">
      <alignment horizontal="center" vertical="center" wrapText="1"/>
    </xf>
    <xf numFmtId="170" fontId="76" fillId="0" borderId="1" xfId="3" applyNumberFormat="1" applyFont="1" applyBorder="1" applyAlignment="1">
      <alignment horizontal="center" vertical="center" wrapText="1"/>
    </xf>
    <xf numFmtId="170" fontId="77" fillId="0" borderId="1" xfId="3" applyNumberFormat="1" applyFont="1" applyBorder="1" applyAlignment="1">
      <alignment vertical="center" wrapText="1"/>
    </xf>
    <xf numFmtId="170" fontId="77" fillId="0" borderId="1" xfId="3" applyNumberFormat="1" applyFont="1" applyBorder="1" applyAlignment="1">
      <alignment horizontal="center" vertical="center"/>
    </xf>
    <xf numFmtId="170" fontId="77" fillId="0" borderId="1" xfId="3" applyNumberFormat="1" applyFont="1" applyBorder="1" applyAlignment="1">
      <alignment horizontal="center" vertical="center" wrapText="1"/>
    </xf>
    <xf numFmtId="173" fontId="78" fillId="0" borderId="7" xfId="3" applyNumberFormat="1" applyFont="1" applyBorder="1" applyAlignment="1">
      <alignment horizontal="right" vertical="center" wrapText="1"/>
    </xf>
    <xf numFmtId="172" fontId="78" fillId="0" borderId="7" xfId="3" applyNumberFormat="1" applyFont="1" applyBorder="1" applyAlignment="1">
      <alignment vertical="center" wrapText="1"/>
    </xf>
    <xf numFmtId="44" fontId="79" fillId="0" borderId="7" xfId="3" applyNumberFormat="1" applyFont="1" applyBorder="1" applyAlignment="1">
      <alignment horizontal="left" vertical="center"/>
    </xf>
    <xf numFmtId="173" fontId="81" fillId="0" borderId="7" xfId="3" applyNumberFormat="1" applyFont="1" applyBorder="1" applyAlignment="1">
      <alignment horizontal="right" vertical="center"/>
    </xf>
    <xf numFmtId="172" fontId="81" fillId="0" borderId="7" xfId="3" applyNumberFormat="1" applyFont="1" applyBorder="1" applyAlignment="1">
      <alignment vertical="center"/>
    </xf>
    <xf numFmtId="165" fontId="53" fillId="0" borderId="0" xfId="4" applyNumberFormat="1" applyFont="1" applyBorder="1" applyAlignment="1">
      <alignment horizontal="right"/>
    </xf>
    <xf numFmtId="2" fontId="82" fillId="0" borderId="7" xfId="3" applyNumberFormat="1" applyFont="1" applyBorder="1" applyAlignment="1">
      <alignment horizontal="right" vertical="center"/>
    </xf>
    <xf numFmtId="0" fontId="5" fillId="7" borderId="0" xfId="0" applyFont="1" applyFill="1" applyBorder="1" applyAlignment="1" applyProtection="1"/>
    <xf numFmtId="0" fontId="5" fillId="7" borderId="0" xfId="0" applyFont="1" applyFill="1" applyBorder="1" applyAlignment="1" applyProtection="1">
      <alignment horizontal="left"/>
    </xf>
    <xf numFmtId="0" fontId="4" fillId="7" borderId="0" xfId="0" applyFont="1" applyFill="1" applyBorder="1" applyAlignment="1" applyProtection="1">
      <alignment horizontal="left"/>
    </xf>
    <xf numFmtId="0" fontId="5" fillId="7" borderId="0" xfId="0" applyFont="1" applyFill="1" applyBorder="1" applyAlignment="1" applyProtection="1">
      <protection locked="0"/>
    </xf>
    <xf numFmtId="4" fontId="4" fillId="7" borderId="0" xfId="0" applyNumberFormat="1" applyFont="1" applyFill="1" applyBorder="1" applyAlignment="1" applyProtection="1"/>
    <xf numFmtId="173" fontId="48" fillId="7" borderId="0" xfId="3" applyNumberFormat="1" applyFont="1" applyFill="1" applyBorder="1" applyAlignment="1">
      <alignment horizontal="right" vertical="center"/>
    </xf>
    <xf numFmtId="172" fontId="48" fillId="7" borderId="0" xfId="3" applyNumberFormat="1" applyFont="1" applyFill="1" applyBorder="1" applyAlignment="1">
      <alignment vertical="center"/>
    </xf>
    <xf numFmtId="0" fontId="84" fillId="7" borderId="0" xfId="0" applyFont="1" applyFill="1" applyBorder="1" applyAlignment="1">
      <alignment vertical="center"/>
    </xf>
    <xf numFmtId="0" fontId="84" fillId="7" borderId="7" xfId="0" applyFont="1" applyFill="1" applyBorder="1" applyAlignment="1" applyProtection="1"/>
    <xf numFmtId="0" fontId="84" fillId="7" borderId="7" xfId="0" applyFont="1" applyFill="1" applyBorder="1" applyAlignment="1" applyProtection="1">
      <alignment horizontal="left"/>
    </xf>
    <xf numFmtId="0" fontId="85" fillId="7" borderId="7" xfId="0" applyFont="1" applyFill="1" applyBorder="1" applyAlignment="1" applyProtection="1">
      <alignment horizontal="left"/>
    </xf>
    <xf numFmtId="0" fontId="84" fillId="7" borderId="7" xfId="0" applyFont="1" applyFill="1" applyBorder="1" applyAlignment="1" applyProtection="1">
      <protection locked="0"/>
    </xf>
    <xf numFmtId="4" fontId="85" fillId="7" borderId="7" xfId="0" applyNumberFormat="1" applyFont="1" applyFill="1" applyBorder="1" applyAlignment="1" applyProtection="1"/>
    <xf numFmtId="173" fontId="86" fillId="7" borderId="7" xfId="3" applyNumberFormat="1" applyFont="1" applyFill="1" applyBorder="1" applyAlignment="1">
      <alignment horizontal="right" vertical="center" wrapText="1"/>
    </xf>
    <xf numFmtId="172" fontId="86" fillId="7" borderId="7" xfId="3" applyNumberFormat="1" applyFont="1" applyFill="1" applyBorder="1" applyAlignment="1">
      <alignment vertical="center" wrapText="1"/>
    </xf>
    <xf numFmtId="44" fontId="87" fillId="7" borderId="7" xfId="3" applyNumberFormat="1" applyFont="1" applyFill="1" applyBorder="1" applyAlignment="1">
      <alignment horizontal="left" vertical="center"/>
    </xf>
    <xf numFmtId="2" fontId="88" fillId="7" borderId="7" xfId="3" applyNumberFormat="1" applyFont="1" applyFill="1" applyBorder="1" applyAlignment="1">
      <alignment horizontal="right" vertical="center"/>
    </xf>
    <xf numFmtId="173" fontId="86" fillId="7" borderId="7" xfId="3" applyNumberFormat="1" applyFont="1" applyFill="1" applyBorder="1" applyAlignment="1">
      <alignment horizontal="right" vertical="center"/>
    </xf>
    <xf numFmtId="172" fontId="86" fillId="7" borderId="7" xfId="3" applyNumberFormat="1" applyFont="1" applyFill="1" applyBorder="1" applyAlignment="1">
      <alignment vertical="center"/>
    </xf>
    <xf numFmtId="0" fontId="84" fillId="7" borderId="0" xfId="0" applyFont="1" applyFill="1" applyBorder="1" applyAlignment="1" applyProtection="1"/>
    <xf numFmtId="0" fontId="84" fillId="7" borderId="0" xfId="0" applyFont="1" applyFill="1" applyBorder="1" applyAlignment="1" applyProtection="1">
      <alignment horizontal="left"/>
    </xf>
    <xf numFmtId="0" fontId="85" fillId="7" borderId="0" xfId="0" applyFont="1" applyFill="1" applyBorder="1" applyAlignment="1" applyProtection="1">
      <alignment horizontal="left"/>
    </xf>
    <xf numFmtId="0" fontId="84" fillId="7" borderId="0" xfId="0" applyFont="1" applyFill="1" applyBorder="1" applyAlignment="1" applyProtection="1">
      <protection locked="0"/>
    </xf>
    <xf numFmtId="4" fontId="85" fillId="7" borderId="0" xfId="0" applyNumberFormat="1" applyFont="1" applyFill="1" applyBorder="1" applyAlignment="1" applyProtection="1"/>
    <xf numFmtId="173" fontId="86" fillId="7" borderId="0" xfId="3" applyNumberFormat="1" applyFont="1" applyFill="1" applyBorder="1" applyAlignment="1">
      <alignment horizontal="right" vertical="center" wrapText="1"/>
    </xf>
    <xf numFmtId="172" fontId="86" fillId="7" borderId="0" xfId="3" applyNumberFormat="1" applyFont="1" applyFill="1" applyBorder="1" applyAlignment="1">
      <alignment vertical="center" wrapText="1"/>
    </xf>
    <xf numFmtId="44" fontId="87" fillId="7" borderId="0" xfId="3" applyNumberFormat="1" applyFont="1" applyFill="1" applyBorder="1" applyAlignment="1">
      <alignment horizontal="left" vertical="center"/>
    </xf>
    <xf numFmtId="173" fontId="86" fillId="7" borderId="0" xfId="3" applyNumberFormat="1" applyFont="1" applyFill="1" applyBorder="1" applyAlignment="1">
      <alignment horizontal="right" vertical="center"/>
    </xf>
    <xf numFmtId="172" fontId="86" fillId="7" borderId="0" xfId="3" applyNumberFormat="1" applyFont="1" applyFill="1" applyBorder="1" applyAlignment="1">
      <alignment vertical="center"/>
    </xf>
    <xf numFmtId="172" fontId="47" fillId="0" borderId="7" xfId="2" applyNumberFormat="1" applyFont="1" applyBorder="1" applyAlignment="1">
      <alignment horizontal="right" vertical="center"/>
    </xf>
    <xf numFmtId="172" fontId="69" fillId="0" borderId="7" xfId="2" applyNumberFormat="1" applyFont="1" applyBorder="1" applyAlignment="1">
      <alignment horizontal="right" vertical="center"/>
    </xf>
    <xf numFmtId="0" fontId="0" fillId="7" borderId="0" xfId="0" applyFill="1" applyBorder="1"/>
    <xf numFmtId="4" fontId="49" fillId="7" borderId="0" xfId="2" applyNumberFormat="1" applyFont="1" applyFill="1" applyBorder="1" applyAlignment="1">
      <alignment horizontal="right" vertical="center"/>
    </xf>
    <xf numFmtId="172" fontId="50" fillId="7" borderId="0" xfId="3" applyNumberFormat="1" applyFont="1" applyFill="1" applyBorder="1" applyAlignment="1">
      <alignment vertical="center"/>
    </xf>
    <xf numFmtId="4" fontId="88" fillId="7" borderId="0" xfId="2" applyNumberFormat="1" applyFont="1" applyFill="1" applyBorder="1" applyAlignment="1">
      <alignment horizontal="right" vertical="center"/>
    </xf>
    <xf numFmtId="172" fontId="88" fillId="7" borderId="7" xfId="2" applyNumberFormat="1" applyFont="1" applyFill="1" applyBorder="1" applyAlignment="1">
      <alignment horizontal="right" vertical="center"/>
    </xf>
    <xf numFmtId="4" fontId="88" fillId="7" borderId="7" xfId="2" applyNumberFormat="1" applyFont="1" applyFill="1" applyBorder="1" applyAlignment="1">
      <alignment horizontal="right" vertical="center"/>
    </xf>
    <xf numFmtId="172" fontId="53" fillId="4" borderId="0" xfId="0" applyNumberFormat="1" applyFont="1" applyFill="1" applyBorder="1"/>
    <xf numFmtId="44" fontId="69" fillId="0" borderId="7" xfId="2" applyNumberFormat="1" applyFont="1" applyBorder="1" applyAlignment="1">
      <alignment horizontal="right" vertical="center"/>
    </xf>
    <xf numFmtId="172" fontId="0" fillId="7" borderId="0" xfId="0" applyNumberFormat="1" applyFill="1" applyBorder="1"/>
    <xf numFmtId="0" fontId="89" fillId="7" borderId="7" xfId="0" applyFont="1" applyFill="1" applyBorder="1" applyAlignment="1" applyProtection="1">
      <alignment horizontal="left"/>
    </xf>
    <xf numFmtId="4" fontId="89" fillId="7" borderId="7" xfId="0" applyNumberFormat="1" applyFont="1" applyFill="1" applyBorder="1" applyAlignment="1" applyProtection="1"/>
    <xf numFmtId="44" fontId="0" fillId="7" borderId="0" xfId="0" applyNumberFormat="1" applyFill="1" applyBorder="1"/>
    <xf numFmtId="173" fontId="90" fillId="7" borderId="7" xfId="3" applyNumberFormat="1" applyFont="1" applyFill="1" applyBorder="1" applyAlignment="1">
      <alignment horizontal="right" vertical="center"/>
    </xf>
    <xf numFmtId="172" fontId="90" fillId="7" borderId="7" xfId="3" applyNumberFormat="1" applyFont="1" applyFill="1" applyBorder="1" applyAlignment="1">
      <alignment vertical="center"/>
    </xf>
    <xf numFmtId="172" fontId="69" fillId="0" borderId="0" xfId="2" applyNumberFormat="1" applyFont="1" applyBorder="1" applyAlignment="1">
      <alignment horizontal="right" vertical="center"/>
    </xf>
    <xf numFmtId="172" fontId="88" fillId="7" borderId="0" xfId="2" applyNumberFormat="1" applyFont="1" applyFill="1" applyBorder="1" applyAlignment="1">
      <alignment horizontal="right" vertical="center"/>
    </xf>
    <xf numFmtId="2" fontId="69" fillId="0" borderId="0" xfId="2" applyNumberFormat="1" applyFont="1" applyBorder="1" applyAlignment="1">
      <alignment horizontal="right" vertical="center"/>
    </xf>
    <xf numFmtId="173" fontId="48" fillId="7" borderId="7" xfId="3" applyNumberFormat="1" applyFont="1" applyFill="1" applyBorder="1" applyAlignment="1">
      <alignment horizontal="right" vertical="center"/>
    </xf>
    <xf numFmtId="172" fontId="93" fillId="7" borderId="7" xfId="2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center" vertical="center"/>
    </xf>
    <xf numFmtId="172" fontId="86" fillId="7" borderId="7" xfId="3" applyNumberFormat="1" applyFont="1" applyFill="1" applyBorder="1" applyAlignment="1">
      <alignment horizontal="center" vertical="center"/>
    </xf>
    <xf numFmtId="2" fontId="94" fillId="0" borderId="7" xfId="2" applyNumberFormat="1" applyFont="1" applyBorder="1" applyAlignment="1">
      <alignment vertical="center"/>
    </xf>
    <xf numFmtId="2" fontId="94" fillId="7" borderId="7" xfId="2" applyNumberFormat="1" applyFont="1" applyFill="1" applyBorder="1" applyAlignment="1">
      <alignment vertical="center"/>
    </xf>
    <xf numFmtId="0" fontId="5" fillId="7" borderId="0" xfId="0" applyFont="1" applyFill="1" applyBorder="1" applyAlignment="1">
      <alignment wrapText="1"/>
    </xf>
    <xf numFmtId="2" fontId="44" fillId="0" borderId="0" xfId="0" applyNumberFormat="1" applyFont="1" applyFill="1" applyBorder="1" applyAlignment="1">
      <alignment horizontal="right" vertical="center"/>
    </xf>
    <xf numFmtId="2" fontId="44" fillId="0" borderId="0" xfId="0" applyNumberFormat="1" applyFont="1" applyFill="1" applyBorder="1" applyAlignment="1">
      <alignment vertical="center"/>
    </xf>
    <xf numFmtId="44" fontId="44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 applyProtection="1">
      <alignment vertical="center"/>
    </xf>
    <xf numFmtId="0" fontId="0" fillId="0" borderId="7" xfId="0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horizontal="left" vertical="center" wrapText="1"/>
    </xf>
    <xf numFmtId="0" fontId="0" fillId="0" borderId="7" xfId="0" applyFont="1" applyFill="1" applyBorder="1" applyAlignment="1" applyProtection="1">
      <alignment horizontal="center" vertical="center" wrapText="1"/>
    </xf>
    <xf numFmtId="4" fontId="0" fillId="0" borderId="7" xfId="0" applyNumberFormat="1" applyFont="1" applyFill="1" applyBorder="1" applyAlignment="1" applyProtection="1">
      <alignment vertical="center"/>
    </xf>
    <xf numFmtId="4" fontId="0" fillId="0" borderId="7" xfId="0" applyNumberFormat="1" applyFont="1" applyFill="1" applyBorder="1" applyAlignment="1" applyProtection="1">
      <alignment vertical="center"/>
      <protection locked="0"/>
    </xf>
    <xf numFmtId="172" fontId="48" fillId="0" borderId="7" xfId="3" applyNumberFormat="1" applyFont="1" applyFill="1" applyBorder="1" applyAlignment="1">
      <alignment vertical="center"/>
    </xf>
    <xf numFmtId="172" fontId="47" fillId="0" borderId="7" xfId="2" applyNumberFormat="1" applyFont="1" applyFill="1" applyBorder="1" applyAlignment="1">
      <alignment horizontal="right" vertical="center"/>
    </xf>
    <xf numFmtId="4" fontId="49" fillId="0" borderId="7" xfId="2" applyNumberFormat="1" applyFont="1" applyFill="1" applyBorder="1" applyAlignment="1">
      <alignment horizontal="right" vertical="center"/>
    </xf>
    <xf numFmtId="172" fontId="50" fillId="0" borderId="7" xfId="3" applyNumberFormat="1" applyFont="1" applyFill="1" applyBorder="1" applyAlignment="1">
      <alignment vertical="center"/>
    </xf>
    <xf numFmtId="172" fontId="69" fillId="0" borderId="7" xfId="2" applyNumberFormat="1" applyFont="1" applyFill="1" applyBorder="1" applyAlignment="1">
      <alignment horizontal="right" vertical="center"/>
    </xf>
    <xf numFmtId="2" fontId="0" fillId="0" borderId="0" xfId="0" applyNumberFormat="1" applyFont="1" applyBorder="1" applyAlignment="1">
      <alignment vertical="center"/>
    </xf>
    <xf numFmtId="0" fontId="96" fillId="0" borderId="0" xfId="6" applyFont="1" applyAlignment="1">
      <alignment horizontal="left" vertical="center"/>
    </xf>
    <xf numFmtId="0" fontId="1" fillId="0" borderId="0" xfId="6" applyFont="1" applyAlignment="1">
      <alignment horizontal="left" vertical="center"/>
    </xf>
    <xf numFmtId="0" fontId="97" fillId="0" borderId="0" xfId="6" applyFont="1" applyAlignment="1">
      <alignment vertical="center"/>
    </xf>
    <xf numFmtId="166" fontId="96" fillId="0" borderId="0" xfId="6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98" fillId="0" borderId="0" xfId="0" applyFont="1" applyBorder="1"/>
    <xf numFmtId="14" fontId="53" fillId="8" borderId="0" xfId="0" applyNumberFormat="1" applyFont="1" applyFill="1" applyBorder="1" applyAlignment="1">
      <alignment horizontal="center"/>
    </xf>
    <xf numFmtId="170" fontId="38" fillId="0" borderId="1" xfId="3" applyNumberFormat="1" applyFont="1" applyBorder="1" applyAlignment="1">
      <alignment horizontal="center" vertical="center" wrapText="1"/>
    </xf>
    <xf numFmtId="170" fontId="39" fillId="0" borderId="1" xfId="3" applyNumberFormat="1" applyFont="1" applyBorder="1" applyAlignment="1">
      <alignment horizontal="center" vertical="center" wrapText="1"/>
    </xf>
    <xf numFmtId="170" fontId="39" fillId="0" borderId="6" xfId="3" applyNumberFormat="1" applyFont="1" applyBorder="1" applyAlignment="1">
      <alignment horizontal="center" vertical="center" wrapText="1"/>
    </xf>
    <xf numFmtId="169" fontId="36" fillId="0" borderId="3" xfId="0" applyNumberFormat="1" applyFont="1" applyFill="1" applyBorder="1" applyAlignment="1">
      <alignment horizontal="center" vertical="center"/>
    </xf>
    <xf numFmtId="169" fontId="37" fillId="0" borderId="3" xfId="0" applyNumberFormat="1" applyFont="1" applyFill="1" applyBorder="1" applyAlignment="1">
      <alignment horizontal="center" vertical="center"/>
    </xf>
    <xf numFmtId="169" fontId="37" fillId="0" borderId="4" xfId="0" applyNumberFormat="1" applyFont="1" applyFill="1" applyBorder="1" applyAlignment="1">
      <alignment horizontal="center" vertical="center"/>
    </xf>
    <xf numFmtId="42" fontId="14" fillId="0" borderId="0" xfId="3" applyNumberFormat="1" applyFont="1" applyBorder="1" applyAlignment="1">
      <alignment horizontal="left" wrapText="1"/>
    </xf>
    <xf numFmtId="169" fontId="83" fillId="0" borderId="3" xfId="0" applyNumberFormat="1" applyFont="1" applyBorder="1" applyAlignment="1">
      <alignment horizontal="center" vertical="center" wrapText="1"/>
    </xf>
    <xf numFmtId="169" fontId="80" fillId="0" borderId="3" xfId="0" applyNumberFormat="1" applyFont="1" applyBorder="1" applyAlignment="1">
      <alignment horizontal="center" vertical="center"/>
    </xf>
    <xf numFmtId="169" fontId="80" fillId="0" borderId="4" xfId="0" applyNumberFormat="1" applyFont="1" applyBorder="1" applyAlignment="1">
      <alignment horizontal="center" vertical="center"/>
    </xf>
    <xf numFmtId="4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5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0" fillId="0" borderId="0" xfId="0" applyFont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169" fontId="36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/>
    <xf numFmtId="169" fontId="37" fillId="0" borderId="3" xfId="0" applyNumberFormat="1" applyFont="1" applyBorder="1" applyAlignment="1">
      <alignment horizontal="center" vertical="center"/>
    </xf>
    <xf numFmtId="0" fontId="0" fillId="0" borderId="4" xfId="0" applyBorder="1" applyAlignment="1"/>
    <xf numFmtId="4" fontId="0" fillId="5" borderId="0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wrapText="1"/>
    </xf>
    <xf numFmtId="0" fontId="0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>
      <alignment horizontal="center" vertical="center" wrapText="1"/>
    </xf>
    <xf numFmtId="14" fontId="53" fillId="3" borderId="0" xfId="0" applyNumberFormat="1" applyFont="1" applyFill="1" applyBorder="1" applyAlignment="1">
      <alignment horizontal="center"/>
    </xf>
    <xf numFmtId="14" fontId="53" fillId="0" borderId="0" xfId="0" applyNumberFormat="1" applyFont="1" applyFill="1" applyBorder="1" applyAlignment="1">
      <alignment horizontal="center"/>
    </xf>
    <xf numFmtId="169" fontId="34" fillId="0" borderId="3" xfId="0" applyNumberFormat="1" applyFont="1" applyBorder="1" applyAlignment="1">
      <alignment horizontal="center" vertical="center" wrapText="1"/>
    </xf>
    <xf numFmtId="169" fontId="35" fillId="0" borderId="3" xfId="0" applyNumberFormat="1" applyFont="1" applyBorder="1" applyAlignment="1">
      <alignment horizontal="center" vertical="center"/>
    </xf>
    <xf numFmtId="170" fontId="59" fillId="0" borderId="1" xfId="3" applyNumberFormat="1" applyFont="1" applyBorder="1" applyAlignment="1">
      <alignment horizontal="center" vertical="center" wrapText="1"/>
    </xf>
    <xf numFmtId="170" fontId="59" fillId="0" borderId="1" xfId="3" applyNumberFormat="1" applyFont="1" applyFill="1" applyBorder="1" applyAlignment="1">
      <alignment horizontal="center" vertical="center" wrapText="1"/>
    </xf>
    <xf numFmtId="14" fontId="53" fillId="8" borderId="0" xfId="0" applyNumberFormat="1" applyFont="1" applyFill="1" applyBorder="1" applyAlignment="1">
      <alignment horizontal="center"/>
    </xf>
  </cellXfs>
  <cellStyles count="7">
    <cellStyle name="Čárka" xfId="1" builtinId="3"/>
    <cellStyle name="Normální" xfId="0" builtinId="0" customBuiltin="1"/>
    <cellStyle name="Normální 2" xfId="6" xr:uid="{E9CAB913-D88C-4E18-BAD8-B48002836743}"/>
    <cellStyle name="normální_4948_Odbytovy_rozpocet-Rusek" xfId="5" xr:uid="{00000000-0005-0000-0000-000002000000}"/>
    <cellStyle name="normální_Agregované položky akce389" xfId="4" xr:uid="{00000000-0005-0000-0000-000003000000}"/>
    <cellStyle name="normální_Pekapitulace výkazu výměr" xfId="3" xr:uid="{00000000-0005-0000-0000-000004000000}"/>
    <cellStyle name="Procenta" xfId="2" builtinId="5"/>
  </cellStyles>
  <dxfs count="549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161925</xdr:rowOff>
    </xdr:from>
    <xdr:to>
      <xdr:col>1</xdr:col>
      <xdr:colOff>1114425</xdr:colOff>
      <xdr:row>3</xdr:row>
      <xdr:rowOff>133350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61925"/>
          <a:ext cx="74295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4</xdr:col>
      <xdr:colOff>495300</xdr:colOff>
      <xdr:row>2</xdr:row>
      <xdr:rowOff>190500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620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85725</xdr:rowOff>
    </xdr:from>
    <xdr:to>
      <xdr:col>4</xdr:col>
      <xdr:colOff>495300</xdr:colOff>
      <xdr:row>2</xdr:row>
      <xdr:rowOff>200025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8572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103654</xdr:rowOff>
    </xdr:from>
    <xdr:to>
      <xdr:col>4</xdr:col>
      <xdr:colOff>495300</xdr:colOff>
      <xdr:row>2</xdr:row>
      <xdr:rowOff>213472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053" y="103654"/>
          <a:ext cx="1001806" cy="5692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123825</xdr:rowOff>
    </xdr:from>
    <xdr:to>
      <xdr:col>4</xdr:col>
      <xdr:colOff>495300</xdr:colOff>
      <xdr:row>3</xdr:row>
      <xdr:rowOff>9525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2382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104775</xdr:rowOff>
    </xdr:from>
    <xdr:to>
      <xdr:col>4</xdr:col>
      <xdr:colOff>495300</xdr:colOff>
      <xdr:row>2</xdr:row>
      <xdr:rowOff>219075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0477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104775</xdr:rowOff>
    </xdr:from>
    <xdr:to>
      <xdr:col>4</xdr:col>
      <xdr:colOff>495300</xdr:colOff>
      <xdr:row>2</xdr:row>
      <xdr:rowOff>219075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0477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152400</xdr:rowOff>
    </xdr:from>
    <xdr:to>
      <xdr:col>4</xdr:col>
      <xdr:colOff>495300</xdr:colOff>
      <xdr:row>3</xdr:row>
      <xdr:rowOff>38100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5240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85725</xdr:rowOff>
    </xdr:from>
    <xdr:to>
      <xdr:col>4</xdr:col>
      <xdr:colOff>495300</xdr:colOff>
      <xdr:row>2</xdr:row>
      <xdr:rowOff>200025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8572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126064</xdr:rowOff>
    </xdr:from>
    <xdr:to>
      <xdr:col>4</xdr:col>
      <xdr:colOff>495300</xdr:colOff>
      <xdr:row>3</xdr:row>
      <xdr:rowOff>11764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053" y="126064"/>
          <a:ext cx="1001806" cy="5692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123825</xdr:rowOff>
    </xdr:from>
    <xdr:to>
      <xdr:col>4</xdr:col>
      <xdr:colOff>495300</xdr:colOff>
      <xdr:row>3</xdr:row>
      <xdr:rowOff>9525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2382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148477</xdr:rowOff>
    </xdr:from>
    <xdr:to>
      <xdr:col>4</xdr:col>
      <xdr:colOff>495300</xdr:colOff>
      <xdr:row>3</xdr:row>
      <xdr:rowOff>34177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053" y="148477"/>
          <a:ext cx="1001806" cy="5692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142875</xdr:rowOff>
    </xdr:from>
    <xdr:to>
      <xdr:col>4</xdr:col>
      <xdr:colOff>495300</xdr:colOff>
      <xdr:row>3</xdr:row>
      <xdr:rowOff>28575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4287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104775</xdr:rowOff>
    </xdr:from>
    <xdr:to>
      <xdr:col>4</xdr:col>
      <xdr:colOff>495300</xdr:colOff>
      <xdr:row>2</xdr:row>
      <xdr:rowOff>219075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0477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114300</xdr:rowOff>
    </xdr:from>
    <xdr:to>
      <xdr:col>4</xdr:col>
      <xdr:colOff>495300</xdr:colOff>
      <xdr:row>3</xdr:row>
      <xdr:rowOff>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1430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123825</xdr:rowOff>
    </xdr:from>
    <xdr:to>
      <xdr:col>4</xdr:col>
      <xdr:colOff>495300</xdr:colOff>
      <xdr:row>3</xdr:row>
      <xdr:rowOff>9525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2382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142875</xdr:rowOff>
    </xdr:from>
    <xdr:to>
      <xdr:col>4</xdr:col>
      <xdr:colOff>495300</xdr:colOff>
      <xdr:row>3</xdr:row>
      <xdr:rowOff>28575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4287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180975</xdr:rowOff>
    </xdr:from>
    <xdr:to>
      <xdr:col>4</xdr:col>
      <xdr:colOff>495300</xdr:colOff>
      <xdr:row>3</xdr:row>
      <xdr:rowOff>66675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8097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171450</xdr:rowOff>
    </xdr:from>
    <xdr:to>
      <xdr:col>4</xdr:col>
      <xdr:colOff>495300</xdr:colOff>
      <xdr:row>3</xdr:row>
      <xdr:rowOff>57150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9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7145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95250</xdr:rowOff>
    </xdr:from>
    <xdr:to>
      <xdr:col>4</xdr:col>
      <xdr:colOff>495300</xdr:colOff>
      <xdr:row>2</xdr:row>
      <xdr:rowOff>209550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A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9525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133350</xdr:rowOff>
    </xdr:from>
    <xdr:to>
      <xdr:col>4</xdr:col>
      <xdr:colOff>495300</xdr:colOff>
      <xdr:row>3</xdr:row>
      <xdr:rowOff>19050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3335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123825</xdr:rowOff>
    </xdr:from>
    <xdr:to>
      <xdr:col>4</xdr:col>
      <xdr:colOff>495300</xdr:colOff>
      <xdr:row>3</xdr:row>
      <xdr:rowOff>9525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C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2382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85725</xdr:rowOff>
    </xdr:from>
    <xdr:to>
      <xdr:col>4</xdr:col>
      <xdr:colOff>495300</xdr:colOff>
      <xdr:row>2</xdr:row>
      <xdr:rowOff>200025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8572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180975</xdr:rowOff>
    </xdr:from>
    <xdr:to>
      <xdr:col>4</xdr:col>
      <xdr:colOff>495300</xdr:colOff>
      <xdr:row>3</xdr:row>
      <xdr:rowOff>66675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D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8097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137274</xdr:rowOff>
    </xdr:from>
    <xdr:to>
      <xdr:col>4</xdr:col>
      <xdr:colOff>495300</xdr:colOff>
      <xdr:row>3</xdr:row>
      <xdr:rowOff>22973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E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053" y="137274"/>
          <a:ext cx="1001806" cy="5692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114300</xdr:rowOff>
    </xdr:from>
    <xdr:to>
      <xdr:col>4</xdr:col>
      <xdr:colOff>495300</xdr:colOff>
      <xdr:row>3</xdr:row>
      <xdr:rowOff>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1F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1430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161925</xdr:rowOff>
    </xdr:from>
    <xdr:to>
      <xdr:col>4</xdr:col>
      <xdr:colOff>495300</xdr:colOff>
      <xdr:row>3</xdr:row>
      <xdr:rowOff>47625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2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6192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104775</xdr:rowOff>
    </xdr:from>
    <xdr:to>
      <xdr:col>4</xdr:col>
      <xdr:colOff>495300</xdr:colOff>
      <xdr:row>2</xdr:row>
      <xdr:rowOff>219075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2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0477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142875</xdr:rowOff>
    </xdr:from>
    <xdr:to>
      <xdr:col>4</xdr:col>
      <xdr:colOff>495300</xdr:colOff>
      <xdr:row>3</xdr:row>
      <xdr:rowOff>28575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2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4287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95250</xdr:rowOff>
    </xdr:from>
    <xdr:to>
      <xdr:col>4</xdr:col>
      <xdr:colOff>495300</xdr:colOff>
      <xdr:row>2</xdr:row>
      <xdr:rowOff>209550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2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9525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114300</xdr:rowOff>
    </xdr:from>
    <xdr:to>
      <xdr:col>4</xdr:col>
      <xdr:colOff>495300</xdr:colOff>
      <xdr:row>3</xdr:row>
      <xdr:rowOff>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2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1430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123825</xdr:rowOff>
    </xdr:from>
    <xdr:to>
      <xdr:col>4</xdr:col>
      <xdr:colOff>495300</xdr:colOff>
      <xdr:row>3</xdr:row>
      <xdr:rowOff>9525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2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2382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114862</xdr:rowOff>
    </xdr:from>
    <xdr:to>
      <xdr:col>4</xdr:col>
      <xdr:colOff>495300</xdr:colOff>
      <xdr:row>3</xdr:row>
      <xdr:rowOff>562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2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053" y="114862"/>
          <a:ext cx="1001806" cy="5692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92448</xdr:rowOff>
    </xdr:from>
    <xdr:to>
      <xdr:col>4</xdr:col>
      <xdr:colOff>495300</xdr:colOff>
      <xdr:row>2</xdr:row>
      <xdr:rowOff>202266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053" y="92448"/>
          <a:ext cx="1001806" cy="5692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123825</xdr:rowOff>
    </xdr:from>
    <xdr:to>
      <xdr:col>4</xdr:col>
      <xdr:colOff>495300</xdr:colOff>
      <xdr:row>3</xdr:row>
      <xdr:rowOff>9525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2382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76200</xdr:rowOff>
    </xdr:from>
    <xdr:to>
      <xdr:col>4</xdr:col>
      <xdr:colOff>495300</xdr:colOff>
      <xdr:row>2</xdr:row>
      <xdr:rowOff>190500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620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161925</xdr:rowOff>
    </xdr:from>
    <xdr:to>
      <xdr:col>4</xdr:col>
      <xdr:colOff>495300</xdr:colOff>
      <xdr:row>3</xdr:row>
      <xdr:rowOff>47625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6192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190500</xdr:rowOff>
    </xdr:from>
    <xdr:to>
      <xdr:col>4</xdr:col>
      <xdr:colOff>495300</xdr:colOff>
      <xdr:row>3</xdr:row>
      <xdr:rowOff>76200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9050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85725</xdr:rowOff>
    </xdr:from>
    <xdr:to>
      <xdr:col>4</xdr:col>
      <xdr:colOff>495300</xdr:colOff>
      <xdr:row>2</xdr:row>
      <xdr:rowOff>200025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8572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1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63"/>
  <sheetViews>
    <sheetView showGridLines="0" tabSelected="1" view="pageBreakPreview" topLeftCell="A28" zoomScale="90" zoomScaleNormal="85" zoomScaleSheetLayoutView="90" workbookViewId="0">
      <selection activeCell="C8" sqref="C8:D8"/>
    </sheetView>
  </sheetViews>
  <sheetFormatPr defaultColWidth="9.33203125" defaultRowHeight="11.25" x14ac:dyDescent="0.2"/>
  <cols>
    <col min="1" max="1" width="1.6640625" style="87" customWidth="1"/>
    <col min="2" max="2" width="15.6640625" style="87" customWidth="1"/>
    <col min="3" max="3" width="109.6640625" style="87" customWidth="1"/>
    <col min="4" max="4" width="20.5" style="87" bestFit="1" customWidth="1"/>
    <col min="5" max="5" width="18.83203125" style="87" bestFit="1" customWidth="1"/>
    <col min="6" max="6" width="25.33203125" style="87" customWidth="1"/>
    <col min="7" max="7" width="14.33203125" style="87" customWidth="1"/>
    <col min="8" max="8" width="20.5" style="87" customWidth="1"/>
    <col min="9" max="9" width="23.33203125" style="87" hidden="1" customWidth="1"/>
    <col min="10" max="10" width="16.83203125" style="87" hidden="1" customWidth="1"/>
    <col min="11" max="11" width="9.33203125" style="87"/>
    <col min="12" max="12" width="14.6640625" style="87" bestFit="1" customWidth="1"/>
    <col min="13" max="16384" width="9.33203125" style="87"/>
  </cols>
  <sheetData>
    <row r="1" spans="1:9" s="88" customFormat="1" ht="18" customHeight="1" x14ac:dyDescent="0.2">
      <c r="B1" s="13"/>
      <c r="C1" s="11" t="s">
        <v>824</v>
      </c>
      <c r="D1" s="89" t="s">
        <v>975</v>
      </c>
      <c r="E1" s="94"/>
      <c r="F1" s="95"/>
      <c r="G1" s="96"/>
      <c r="H1" s="97"/>
    </row>
    <row r="2" spans="1:9" s="88" customFormat="1" ht="24.6" customHeight="1" x14ac:dyDescent="0.2">
      <c r="B2" s="13"/>
      <c r="C2" s="11" t="s">
        <v>826</v>
      </c>
      <c r="D2" s="328" t="s">
        <v>1225</v>
      </c>
      <c r="E2" s="328"/>
      <c r="F2" s="328"/>
      <c r="G2" s="328"/>
      <c r="H2" s="328"/>
    </row>
    <row r="3" spans="1:9" s="88" customFormat="1" ht="18" customHeight="1" x14ac:dyDescent="0.2">
      <c r="B3" s="13"/>
      <c r="C3" s="1" t="s">
        <v>827</v>
      </c>
      <c r="D3" s="12" t="s">
        <v>828</v>
      </c>
      <c r="E3" s="94"/>
      <c r="F3" s="95"/>
      <c r="G3" s="96"/>
      <c r="H3" s="97"/>
    </row>
    <row r="4" spans="1:9" s="13" customFormat="1" ht="18" customHeight="1" x14ac:dyDescent="0.2">
      <c r="C4" s="1" t="s">
        <v>829</v>
      </c>
      <c r="D4" s="12" t="s">
        <v>830</v>
      </c>
      <c r="E4" s="101"/>
      <c r="F4" s="102"/>
      <c r="G4" s="103"/>
      <c r="H4" s="104"/>
    </row>
    <row r="5" spans="1:9" s="13" customFormat="1" ht="18" customHeight="1" x14ac:dyDescent="0.2">
      <c r="C5" s="11" t="s">
        <v>831</v>
      </c>
      <c r="D5" s="12" t="s">
        <v>832</v>
      </c>
      <c r="E5" s="101"/>
      <c r="F5" s="102"/>
      <c r="G5" s="103"/>
      <c r="H5" s="104"/>
    </row>
    <row r="6" spans="1:9" s="13" customFormat="1" ht="18" customHeight="1" x14ac:dyDescent="0.2">
      <c r="C6" s="11" t="s">
        <v>833</v>
      </c>
      <c r="D6" s="105" t="s">
        <v>834</v>
      </c>
      <c r="E6" s="101"/>
      <c r="F6" s="102"/>
      <c r="G6" s="103"/>
      <c r="H6" s="104"/>
    </row>
    <row r="7" spans="1:9" s="13" customFormat="1" ht="3.75" customHeight="1" x14ac:dyDescent="0.25">
      <c r="D7" s="106"/>
      <c r="E7" s="101"/>
      <c r="F7" s="102"/>
      <c r="G7" s="107"/>
      <c r="H7" s="104"/>
    </row>
    <row r="8" spans="1:9" s="108" customFormat="1" ht="16.5" customHeight="1" x14ac:dyDescent="0.25">
      <c r="B8" s="109"/>
      <c r="D8" s="107"/>
      <c r="E8" s="110"/>
      <c r="F8" s="111"/>
      <c r="G8" s="111" t="s">
        <v>835</v>
      </c>
      <c r="H8" s="112">
        <v>44926</v>
      </c>
    </row>
    <row r="9" spans="1:9" s="108" customFormat="1" x14ac:dyDescent="0.2">
      <c r="B9" s="113"/>
      <c r="C9" s="114"/>
      <c r="D9" s="114"/>
      <c r="E9" s="115"/>
      <c r="F9" s="116"/>
      <c r="G9" s="117"/>
      <c r="H9" s="118"/>
    </row>
    <row r="10" spans="1:9" s="119" customFormat="1" ht="20.100000000000001" customHeight="1" x14ac:dyDescent="0.2">
      <c r="B10" s="129"/>
      <c r="C10" s="130"/>
      <c r="D10" s="131" t="s">
        <v>836</v>
      </c>
      <c r="E10" s="325" t="s">
        <v>1208</v>
      </c>
      <c r="F10" s="325"/>
      <c r="G10" s="326" t="s">
        <v>1217</v>
      </c>
      <c r="H10" s="327"/>
    </row>
    <row r="11" spans="1:9" s="2" customFormat="1" ht="20.100000000000001" customHeight="1" x14ac:dyDescent="0.2">
      <c r="B11" s="132"/>
      <c r="C11" s="133" t="s">
        <v>846</v>
      </c>
      <c r="D11" s="134" t="s">
        <v>847</v>
      </c>
      <c r="E11" s="322" t="s">
        <v>847</v>
      </c>
      <c r="F11" s="322"/>
      <c r="G11" s="323" t="s">
        <v>847</v>
      </c>
      <c r="H11" s="324"/>
      <c r="I11" s="207"/>
    </row>
    <row r="12" spans="1:9" s="2" customFormat="1" ht="19.5" hidden="1" customHeight="1" x14ac:dyDescent="0.2">
      <c r="D12" s="3"/>
      <c r="E12" s="4"/>
      <c r="F12" s="4"/>
      <c r="G12" s="5"/>
      <c r="H12" s="5"/>
    </row>
    <row r="13" spans="1:9" s="121" customFormat="1" ht="10.5" hidden="1" customHeight="1" x14ac:dyDescent="0.2">
      <c r="A13" s="120"/>
      <c r="B13" s="120"/>
      <c r="C13" s="120"/>
      <c r="D13" s="120"/>
    </row>
    <row r="14" spans="1:9" s="122" customFormat="1" ht="15" customHeight="1" x14ac:dyDescent="0.2">
      <c r="C14" s="123" t="s">
        <v>3</v>
      </c>
      <c r="D14" s="124">
        <f>+SUBTOTAL(9,D15:D56)</f>
        <v>81317332.600000009</v>
      </c>
      <c r="E14" s="125"/>
      <c r="F14" s="125"/>
      <c r="G14" s="126"/>
      <c r="H14" s="127"/>
      <c r="I14" s="294" t="s">
        <v>1218</v>
      </c>
    </row>
    <row r="15" spans="1:9" s="128" customFormat="1" ht="20.100000000000001" customHeight="1" x14ac:dyDescent="0.2">
      <c r="B15" s="135" t="s">
        <v>5</v>
      </c>
      <c r="C15" s="136" t="s">
        <v>6</v>
      </c>
      <c r="D15" s="137">
        <f>+SUBTOTAL(9,D16:D56)</f>
        <v>81317332.600000009</v>
      </c>
      <c r="E15" s="70"/>
      <c r="F15" s="138"/>
      <c r="G15" s="139"/>
      <c r="H15" s="140"/>
    </row>
    <row r="16" spans="1:9" s="128" customFormat="1" ht="20.100000000000001" customHeight="1" x14ac:dyDescent="0.2">
      <c r="B16" s="135" t="s">
        <v>9</v>
      </c>
      <c r="C16" s="136" t="s">
        <v>10</v>
      </c>
      <c r="D16" s="137">
        <f>+SUBTOTAL(9,D17:D47)</f>
        <v>69398792.100000009</v>
      </c>
      <c r="E16" s="70"/>
      <c r="F16" s="138"/>
      <c r="G16" s="139"/>
      <c r="H16" s="140"/>
    </row>
    <row r="17" spans="2:10" s="128" customFormat="1" ht="20.100000000000001" customHeight="1" x14ac:dyDescent="0.2">
      <c r="B17" s="135" t="s">
        <v>11</v>
      </c>
      <c r="C17" s="136" t="s">
        <v>12</v>
      </c>
      <c r="D17" s="137">
        <v>15042099.699999997</v>
      </c>
      <c r="E17" s="70">
        <f t="shared" ref="E17:E47" si="0">F17/D17</f>
        <v>4.4693392316765461E-3</v>
      </c>
      <c r="F17" s="138">
        <f>'A - Stoka A'!M126</f>
        <v>67228.24631599999</v>
      </c>
      <c r="G17" s="139">
        <f>1+E17</f>
        <v>1.0044693392316766</v>
      </c>
      <c r="H17" s="140">
        <f>'A - Stoka A'!P126</f>
        <v>15109327.411415998</v>
      </c>
      <c r="I17" s="299">
        <v>8</v>
      </c>
      <c r="J17" s="301">
        <f>+F17/I17</f>
        <v>8403.5307894999987</v>
      </c>
    </row>
    <row r="18" spans="2:10" s="128" customFormat="1" ht="20.100000000000001" customHeight="1" x14ac:dyDescent="0.2">
      <c r="B18" s="135" t="s">
        <v>14</v>
      </c>
      <c r="C18" s="136" t="s">
        <v>15</v>
      </c>
      <c r="D18" s="137">
        <v>350871.1</v>
      </c>
      <c r="E18" s="70">
        <f t="shared" si="0"/>
        <v>-1.1672595149614773E-2</v>
      </c>
      <c r="F18" s="138">
        <f>'A1 - Stoka A1'!M76</f>
        <v>-4095.5762999999997</v>
      </c>
      <c r="G18" s="139">
        <f t="shared" ref="G18:G56" si="1">1+E18</f>
        <v>0.98832740485038517</v>
      </c>
      <c r="H18" s="140">
        <f>'A1 - Stoka A1'!P76</f>
        <v>346775.38620000007</v>
      </c>
      <c r="I18" s="300">
        <v>-0.6</v>
      </c>
      <c r="J18" s="301">
        <f t="shared" ref="J18:J49" si="2">+F18/I18</f>
        <v>6825.9605000000001</v>
      </c>
    </row>
    <row r="19" spans="2:10" s="128" customFormat="1" ht="20.100000000000001" customHeight="1" x14ac:dyDescent="0.2">
      <c r="B19" s="135" t="s">
        <v>16</v>
      </c>
      <c r="C19" s="136" t="s">
        <v>17</v>
      </c>
      <c r="D19" s="137">
        <v>845411.10000000021</v>
      </c>
      <c r="E19" s="70">
        <f t="shared" si="0"/>
        <v>-3.2421430236721509E-3</v>
      </c>
      <c r="F19" s="138">
        <f>'A2 - Stoka A2'!M87</f>
        <v>-2740.9436999999998</v>
      </c>
      <c r="G19" s="139">
        <f t="shared" si="1"/>
        <v>0.99675785697632779</v>
      </c>
      <c r="H19" s="140">
        <f>'A2 - Stoka A2'!P87</f>
        <v>842669.57359999989</v>
      </c>
      <c r="I19" s="300">
        <v>-0.4</v>
      </c>
      <c r="J19" s="301">
        <f t="shared" si="2"/>
        <v>6852.3592499999995</v>
      </c>
    </row>
    <row r="20" spans="2:10" s="128" customFormat="1" ht="20.100000000000001" customHeight="1" x14ac:dyDescent="0.2">
      <c r="B20" s="135" t="s">
        <v>18</v>
      </c>
      <c r="C20" s="136" t="s">
        <v>19</v>
      </c>
      <c r="D20" s="137">
        <v>1743664.4999999993</v>
      </c>
      <c r="E20" s="70">
        <f t="shared" si="0"/>
        <v>-2.3216516135988329E-3</v>
      </c>
      <c r="F20" s="138">
        <f>'A3 - Stoka A3'!M82</f>
        <v>-4048.1815000000001</v>
      </c>
      <c r="G20" s="139">
        <f t="shared" si="1"/>
        <v>0.99767834838640113</v>
      </c>
      <c r="H20" s="140">
        <f>'A3 - Stoka A3'!P82</f>
        <v>1739616.4855999998</v>
      </c>
      <c r="I20" s="300">
        <v>-0.5</v>
      </c>
      <c r="J20" s="301">
        <f t="shared" si="2"/>
        <v>8096.3630000000003</v>
      </c>
    </row>
    <row r="21" spans="2:10" s="128" customFormat="1" ht="20.100000000000001" customHeight="1" x14ac:dyDescent="0.2">
      <c r="B21" s="135" t="s">
        <v>20</v>
      </c>
      <c r="C21" s="136" t="s">
        <v>21</v>
      </c>
      <c r="D21" s="137">
        <v>478225.00000000012</v>
      </c>
      <c r="E21" s="70">
        <f t="shared" si="0"/>
        <v>1.0047255162318988E-2</v>
      </c>
      <c r="F21" s="138">
        <f>'A4 - Stoka A4'!M79</f>
        <v>4804.8485999999994</v>
      </c>
      <c r="G21" s="139">
        <f t="shared" si="1"/>
        <v>1.010047255162319</v>
      </c>
      <c r="H21" s="140">
        <f>'A4 - Stoka A4'!P79</f>
        <v>483030.03370000003</v>
      </c>
      <c r="I21" s="300">
        <v>0.6</v>
      </c>
      <c r="J21" s="301">
        <f t="shared" si="2"/>
        <v>8008.0809999999992</v>
      </c>
    </row>
    <row r="22" spans="2:10" s="128" customFormat="1" ht="20.100000000000001" customHeight="1" x14ac:dyDescent="0.2">
      <c r="B22" s="135" t="s">
        <v>22</v>
      </c>
      <c r="C22" s="136" t="s">
        <v>23</v>
      </c>
      <c r="D22" s="137">
        <v>1565882.1</v>
      </c>
      <c r="E22" s="70">
        <f t="shared" si="0"/>
        <v>2.275043695818478E-3</v>
      </c>
      <c r="F22" s="138">
        <f>'A5 - Stoka A5'!M86</f>
        <v>3562.4501999999998</v>
      </c>
      <c r="G22" s="139">
        <f t="shared" si="1"/>
        <v>1.0022750436958185</v>
      </c>
      <c r="H22" s="140">
        <f>'A5 - Stoka A5'!P86</f>
        <v>1569444.6239</v>
      </c>
      <c r="I22" s="300">
        <v>0.5</v>
      </c>
      <c r="J22" s="301">
        <f t="shared" si="2"/>
        <v>7124.9003999999995</v>
      </c>
    </row>
    <row r="23" spans="2:10" s="128" customFormat="1" ht="20.100000000000001" customHeight="1" x14ac:dyDescent="0.2">
      <c r="B23" s="135" t="s">
        <v>24</v>
      </c>
      <c r="C23" s="136" t="s">
        <v>25</v>
      </c>
      <c r="D23" s="137">
        <v>574558.00000000023</v>
      </c>
      <c r="E23" s="70">
        <f t="shared" si="0"/>
        <v>9.3345561283630155E-3</v>
      </c>
      <c r="F23" s="138">
        <f>'A6 - Stoka A6'!M84</f>
        <v>5363.2438999999995</v>
      </c>
      <c r="G23" s="139">
        <f t="shared" si="1"/>
        <v>1.0093345561283631</v>
      </c>
      <c r="H23" s="140">
        <f>'A6 - Stoka A6'!P84</f>
        <v>579921.60129999998</v>
      </c>
      <c r="I23" s="300">
        <v>0.7</v>
      </c>
      <c r="J23" s="301">
        <f t="shared" si="2"/>
        <v>7661.777</v>
      </c>
    </row>
    <row r="24" spans="2:10" s="128" customFormat="1" ht="20.100000000000001" customHeight="1" x14ac:dyDescent="0.2">
      <c r="B24" s="135" t="s">
        <v>26</v>
      </c>
      <c r="C24" s="136" t="s">
        <v>27</v>
      </c>
      <c r="D24" s="137">
        <v>3017724.7000000007</v>
      </c>
      <c r="E24" s="70">
        <f t="shared" si="0"/>
        <v>-2.6659075296033447E-4</v>
      </c>
      <c r="F24" s="138">
        <f>'A7 - Stoka A7'!M102</f>
        <v>-804.4974999999996</v>
      </c>
      <c r="G24" s="139">
        <f t="shared" si="1"/>
        <v>0.99973340924703968</v>
      </c>
      <c r="H24" s="140">
        <f>'A7 - Stoka A7'!P102</f>
        <v>3016920.3664999995</v>
      </c>
      <c r="I24" s="300">
        <v>-0.14000000000000001</v>
      </c>
      <c r="J24" s="301">
        <f t="shared" si="2"/>
        <v>5746.410714285711</v>
      </c>
    </row>
    <row r="25" spans="2:10" s="128" customFormat="1" ht="20.100000000000001" customHeight="1" x14ac:dyDescent="0.2">
      <c r="B25" s="135" t="s">
        <v>28</v>
      </c>
      <c r="C25" s="136" t="s">
        <v>29</v>
      </c>
      <c r="D25" s="137">
        <v>280755.59999999998</v>
      </c>
      <c r="E25" s="70">
        <f t="shared" si="0"/>
        <v>-1.6724893822242549E-2</v>
      </c>
      <c r="F25" s="138">
        <f>'A8 - Stoka A8'!M84</f>
        <v>-4695.6076000000003</v>
      </c>
      <c r="G25" s="139">
        <f t="shared" si="1"/>
        <v>0.98327510617775749</v>
      </c>
      <c r="H25" s="140">
        <f>'A8 - Stoka A8'!P84</f>
        <v>276060.0736</v>
      </c>
      <c r="I25" s="300">
        <v>-0.5</v>
      </c>
      <c r="J25" s="301">
        <f t="shared" si="2"/>
        <v>9391.2152000000006</v>
      </c>
    </row>
    <row r="26" spans="2:10" s="128" customFormat="1" ht="20.100000000000001" customHeight="1" x14ac:dyDescent="0.2">
      <c r="B26" s="135" t="s">
        <v>30</v>
      </c>
      <c r="C26" s="136" t="s">
        <v>31</v>
      </c>
      <c r="D26" s="137">
        <v>789569.20000000007</v>
      </c>
      <c r="E26" s="70">
        <f t="shared" si="0"/>
        <v>-5.9707060381787934E-2</v>
      </c>
      <c r="F26" s="138">
        <f>'A9 - Stoka A9'!M79</f>
        <v>-47142.855899999995</v>
      </c>
      <c r="G26" s="139">
        <f t="shared" si="1"/>
        <v>0.94029293961821203</v>
      </c>
      <c r="H26" s="140">
        <f>'A9 - Stoka A9'!P79</f>
        <v>742425.7675999999</v>
      </c>
      <c r="I26" s="300">
        <v>-7</v>
      </c>
      <c r="J26" s="301">
        <f t="shared" si="2"/>
        <v>6734.6936999999989</v>
      </c>
    </row>
    <row r="27" spans="2:10" s="128" customFormat="1" ht="20.100000000000001" customHeight="1" x14ac:dyDescent="0.2">
      <c r="B27" s="135" t="s">
        <v>32</v>
      </c>
      <c r="C27" s="136" t="s">
        <v>33</v>
      </c>
      <c r="D27" s="137">
        <v>10563026.900000002</v>
      </c>
      <c r="E27" s="70">
        <f t="shared" si="0"/>
        <v>5.9507180654816698E-4</v>
      </c>
      <c r="F27" s="138">
        <f>'B - Stoka B'!M123</f>
        <v>6285.7594999998855</v>
      </c>
      <c r="G27" s="139">
        <f t="shared" si="1"/>
        <v>1.0005950718065482</v>
      </c>
      <c r="H27" s="140">
        <f>'B - Stoka B'!P123</f>
        <v>10569312.644600002</v>
      </c>
      <c r="I27" s="300">
        <v>0.5</v>
      </c>
      <c r="J27" s="301">
        <f t="shared" si="2"/>
        <v>12571.518999999771</v>
      </c>
    </row>
    <row r="28" spans="2:10" s="128" customFormat="1" ht="20.100000000000001" customHeight="1" x14ac:dyDescent="0.2">
      <c r="B28" s="135" t="s">
        <v>34</v>
      </c>
      <c r="C28" s="136" t="s">
        <v>35</v>
      </c>
      <c r="D28" s="137">
        <v>1138692.1999999997</v>
      </c>
      <c r="E28" s="70">
        <f t="shared" si="0"/>
        <v>2.4611045548568793E-2</v>
      </c>
      <c r="F28" s="138">
        <f>'B1 - Stoka B1'!M87</f>
        <v>28024.405599999998</v>
      </c>
      <c r="G28" s="139">
        <f t="shared" si="1"/>
        <v>1.0246110455485689</v>
      </c>
      <c r="H28" s="140">
        <f>'B1 - Stoka B1'!P87</f>
        <v>1166716.4717999999</v>
      </c>
      <c r="I28" s="300">
        <v>4.3</v>
      </c>
      <c r="J28" s="301">
        <f t="shared" si="2"/>
        <v>6517.3036279069765</v>
      </c>
    </row>
    <row r="29" spans="2:10" s="128" customFormat="1" ht="20.100000000000001" customHeight="1" x14ac:dyDescent="0.2">
      <c r="B29" s="135" t="s">
        <v>36</v>
      </c>
      <c r="C29" s="136" t="s">
        <v>37</v>
      </c>
      <c r="D29" s="137">
        <v>499289.10000000003</v>
      </c>
      <c r="E29" s="70">
        <f t="shared" si="0"/>
        <v>5.5406839844891455E-2</v>
      </c>
      <c r="F29" s="138">
        <f>'B1.1 - Stoka B1.1'!M82</f>
        <v>27664.031199999998</v>
      </c>
      <c r="G29" s="139">
        <f t="shared" si="1"/>
        <v>1.0554068398448915</v>
      </c>
      <c r="H29" s="140">
        <f>'B1.1 - Stoka B1.1'!P82</f>
        <v>526953.10829999996</v>
      </c>
      <c r="I29" s="300">
        <v>4</v>
      </c>
      <c r="J29" s="301">
        <f t="shared" si="2"/>
        <v>6916.0077999999994</v>
      </c>
    </row>
    <row r="30" spans="2:10" s="128" customFormat="1" ht="20.100000000000001" customHeight="1" x14ac:dyDescent="0.2">
      <c r="B30" s="135" t="s">
        <v>38</v>
      </c>
      <c r="C30" s="136" t="s">
        <v>39</v>
      </c>
      <c r="D30" s="137">
        <v>1267162.7000000004</v>
      </c>
      <c r="E30" s="70">
        <f t="shared" si="0"/>
        <v>3.183723944841494E-2</v>
      </c>
      <c r="F30" s="138">
        <f>'B2 - Stoka B2'!M84</f>
        <v>40342.962299999999</v>
      </c>
      <c r="G30" s="139">
        <f t="shared" si="1"/>
        <v>1.031837239448415</v>
      </c>
      <c r="H30" s="140">
        <f>'B2 - Stoka B2'!P84</f>
        <v>1309686.3857</v>
      </c>
      <c r="I30" s="300">
        <v>6.2</v>
      </c>
      <c r="J30" s="301">
        <f t="shared" si="2"/>
        <v>6506.9294032258058</v>
      </c>
    </row>
    <row r="31" spans="2:10" s="128" customFormat="1" ht="20.100000000000001" customHeight="1" x14ac:dyDescent="0.2">
      <c r="B31" s="135" t="s">
        <v>40</v>
      </c>
      <c r="C31" s="136" t="s">
        <v>41</v>
      </c>
      <c r="D31" s="137">
        <v>3708175.5</v>
      </c>
      <c r="E31" s="70">
        <f t="shared" si="0"/>
        <v>-3.3927050459181339E-2</v>
      </c>
      <c r="F31" s="138">
        <f>'B3 - Stoka B3'!M104</f>
        <v>-125807.45729999999</v>
      </c>
      <c r="G31" s="139">
        <f t="shared" si="1"/>
        <v>0.96607294954081868</v>
      </c>
      <c r="H31" s="140">
        <f>'B3 - Stoka B3'!P104</f>
        <v>3582367.6670999993</v>
      </c>
      <c r="I31" s="300">
        <v>-1.0900000000000001</v>
      </c>
      <c r="J31" s="301">
        <f t="shared" si="2"/>
        <v>115419.68559633027</v>
      </c>
    </row>
    <row r="32" spans="2:10" s="128" customFormat="1" ht="20.100000000000001" customHeight="1" x14ac:dyDescent="0.2">
      <c r="B32" s="135" t="s">
        <v>42</v>
      </c>
      <c r="C32" s="136" t="s">
        <v>43</v>
      </c>
      <c r="D32" s="137">
        <v>287787.59999999998</v>
      </c>
      <c r="E32" s="70">
        <f t="shared" si="0"/>
        <v>-9.9298646017721131E-3</v>
      </c>
      <c r="F32" s="138">
        <f>'B3.1 - Stoka B3.1'!M77</f>
        <v>-2857.691902068952</v>
      </c>
      <c r="G32" s="139">
        <f t="shared" si="1"/>
        <v>0.99007013539822786</v>
      </c>
      <c r="H32" s="140">
        <f>'B3.1 - Stoka B3.1'!P77</f>
        <v>284929.66069793107</v>
      </c>
      <c r="I32" s="300">
        <v>-0.4</v>
      </c>
      <c r="J32" s="301">
        <f t="shared" si="2"/>
        <v>7144.2297551723796</v>
      </c>
    </row>
    <row r="33" spans="2:10" s="128" customFormat="1" ht="20.100000000000001" customHeight="1" x14ac:dyDescent="0.2">
      <c r="B33" s="135" t="s">
        <v>44</v>
      </c>
      <c r="C33" s="136" t="s">
        <v>45</v>
      </c>
      <c r="D33" s="137">
        <v>1852695.8</v>
      </c>
      <c r="E33" s="70">
        <f t="shared" si="0"/>
        <v>-2.7364133388762474E-3</v>
      </c>
      <c r="F33" s="138">
        <f>'B4 - Stoka B4'!M85</f>
        <v>-5069.7415000000001</v>
      </c>
      <c r="G33" s="139">
        <f t="shared" si="1"/>
        <v>0.9972635866611238</v>
      </c>
      <c r="H33" s="140">
        <f>'B4 - Stoka B4'!P85</f>
        <v>1847625.9128</v>
      </c>
      <c r="I33" s="300">
        <v>-0.8</v>
      </c>
      <c r="J33" s="301">
        <f t="shared" si="2"/>
        <v>6337.1768750000001</v>
      </c>
    </row>
    <row r="34" spans="2:10" s="128" customFormat="1" ht="20.100000000000001" customHeight="1" x14ac:dyDescent="0.2">
      <c r="B34" s="135" t="s">
        <v>46</v>
      </c>
      <c r="C34" s="136" t="s">
        <v>47</v>
      </c>
      <c r="D34" s="137">
        <v>2495950.1</v>
      </c>
      <c r="E34" s="70">
        <f t="shared" si="0"/>
        <v>-4.6236404325551211E-3</v>
      </c>
      <c r="F34" s="138">
        <f>'B5 - Stoka B5'!M86</f>
        <v>-11540.375799999998</v>
      </c>
      <c r="G34" s="139">
        <f t="shared" si="1"/>
        <v>0.99537635956744486</v>
      </c>
      <c r="H34" s="140">
        <f>'B5 - Stoka B5'!P86</f>
        <v>2484409.7019999996</v>
      </c>
      <c r="I34" s="300">
        <v>-1.5</v>
      </c>
      <c r="J34" s="301">
        <f t="shared" si="2"/>
        <v>7693.583866666665</v>
      </c>
    </row>
    <row r="35" spans="2:10" s="128" customFormat="1" ht="20.100000000000001" customHeight="1" x14ac:dyDescent="0.2">
      <c r="B35" s="135" t="s">
        <v>48</v>
      </c>
      <c r="C35" s="136" t="s">
        <v>49</v>
      </c>
      <c r="D35" s="137">
        <v>1178311.6000000003</v>
      </c>
      <c r="E35" s="70">
        <f t="shared" si="0"/>
        <v>2.6237065136250882E-2</v>
      </c>
      <c r="F35" s="138">
        <f>'B6 - Stoka B6'!M86</f>
        <v>30915.438200000004</v>
      </c>
      <c r="G35" s="139">
        <f t="shared" si="1"/>
        <v>1.0262370651362509</v>
      </c>
      <c r="H35" s="140">
        <f>'B6 - Stoka B6'!P86</f>
        <v>1209226.5014</v>
      </c>
      <c r="I35" s="300">
        <v>4</v>
      </c>
      <c r="J35" s="301">
        <f t="shared" si="2"/>
        <v>7728.859550000001</v>
      </c>
    </row>
    <row r="36" spans="2:10" s="128" customFormat="1" ht="20.100000000000001" customHeight="1" x14ac:dyDescent="0.2">
      <c r="B36" s="135" t="s">
        <v>50</v>
      </c>
      <c r="C36" s="136" t="s">
        <v>51</v>
      </c>
      <c r="D36" s="137">
        <v>1333674.1000000003</v>
      </c>
      <c r="E36" s="70">
        <f t="shared" si="0"/>
        <v>1.5711240249773162E-2</v>
      </c>
      <c r="F36" s="138">
        <f>'B7 - Stoka B7'!M86</f>
        <v>20953.674200000001</v>
      </c>
      <c r="G36" s="139">
        <f t="shared" si="1"/>
        <v>1.0157112402497732</v>
      </c>
      <c r="H36" s="140">
        <f>'B7 - Stoka B7'!P86</f>
        <v>1354628.0439999998</v>
      </c>
      <c r="I36" s="300">
        <v>3</v>
      </c>
      <c r="J36" s="301">
        <f t="shared" si="2"/>
        <v>6984.5580666666674</v>
      </c>
    </row>
    <row r="37" spans="2:10" s="128" customFormat="1" ht="20.100000000000001" customHeight="1" x14ac:dyDescent="0.2">
      <c r="B37" s="135" t="s">
        <v>52</v>
      </c>
      <c r="C37" s="136" t="s">
        <v>53</v>
      </c>
      <c r="D37" s="137">
        <v>1724109</v>
      </c>
      <c r="E37" s="70">
        <f t="shared" si="0"/>
        <v>-2.0204564792597217E-3</v>
      </c>
      <c r="F37" s="138">
        <f>'B8 - Stoka B8'!M84</f>
        <v>-3483.4871999999996</v>
      </c>
      <c r="G37" s="139">
        <f t="shared" si="1"/>
        <v>0.99797954352074025</v>
      </c>
      <c r="H37" s="140">
        <f>'B8 - Stoka B8'!P84</f>
        <v>1720625.6681000004</v>
      </c>
      <c r="I37" s="300">
        <v>-0.5</v>
      </c>
      <c r="J37" s="301">
        <f t="shared" si="2"/>
        <v>6966.9743999999992</v>
      </c>
    </row>
    <row r="38" spans="2:10" s="128" customFormat="1" ht="20.100000000000001" customHeight="1" x14ac:dyDescent="0.2">
      <c r="B38" s="135" t="s">
        <v>54</v>
      </c>
      <c r="C38" s="136" t="s">
        <v>55</v>
      </c>
      <c r="D38" s="137">
        <v>9461322.9999999944</v>
      </c>
      <c r="E38" s="70">
        <f t="shared" si="0"/>
        <v>-4.0693176630794683E-3</v>
      </c>
      <c r="F38" s="138">
        <f>'C - Stoka C'!M99</f>
        <v>-38501.128799999999</v>
      </c>
      <c r="G38" s="139">
        <f t="shared" si="1"/>
        <v>0.9959306823369205</v>
      </c>
      <c r="H38" s="140">
        <f>'C - Stoka C'!P99</f>
        <v>9422822.2127999999</v>
      </c>
      <c r="I38" s="300">
        <v>-5.4</v>
      </c>
      <c r="J38" s="301">
        <f t="shared" si="2"/>
        <v>7129.8386666666656</v>
      </c>
    </row>
    <row r="39" spans="2:10" s="128" customFormat="1" ht="20.100000000000001" customHeight="1" x14ac:dyDescent="0.2">
      <c r="B39" s="135" t="s">
        <v>56</v>
      </c>
      <c r="C39" s="136" t="s">
        <v>57</v>
      </c>
      <c r="D39" s="137">
        <v>544334.70000000019</v>
      </c>
      <c r="E39" s="70">
        <f t="shared" si="0"/>
        <v>-3.8268750825549047E-3</v>
      </c>
      <c r="F39" s="138">
        <f>'C1 - Stoka C1'!M81</f>
        <v>-2083.1008999999999</v>
      </c>
      <c r="G39" s="139">
        <f t="shared" si="1"/>
        <v>0.99617312491744514</v>
      </c>
      <c r="H39" s="140">
        <f>'C1 - Stoka C1'!P81</f>
        <v>542251.78059999994</v>
      </c>
      <c r="I39" s="300">
        <v>-0.3</v>
      </c>
      <c r="J39" s="301">
        <f t="shared" si="2"/>
        <v>6943.6696666666667</v>
      </c>
    </row>
    <row r="40" spans="2:10" s="128" customFormat="1" ht="20.100000000000001" customHeight="1" x14ac:dyDescent="0.2">
      <c r="B40" s="135" t="s">
        <v>58</v>
      </c>
      <c r="C40" s="136" t="s">
        <v>59</v>
      </c>
      <c r="D40" s="137">
        <v>4331387.8999999985</v>
      </c>
      <c r="E40" s="70">
        <f t="shared" si="0"/>
        <v>5.8855671873673581E-3</v>
      </c>
      <c r="F40" s="138">
        <f>'C2 - Stoka C2'!M92</f>
        <v>25492.674500000001</v>
      </c>
      <c r="G40" s="139">
        <f t="shared" si="1"/>
        <v>1.0058855671873674</v>
      </c>
      <c r="H40" s="140">
        <f>'C2 - Stoka C2'!P92</f>
        <v>4356880.3673999999</v>
      </c>
      <c r="I40" s="300">
        <v>3.3</v>
      </c>
      <c r="J40" s="301">
        <f t="shared" si="2"/>
        <v>7725.0528787878793</v>
      </c>
    </row>
    <row r="41" spans="2:10" s="128" customFormat="1" ht="20.100000000000001" customHeight="1" x14ac:dyDescent="0.2">
      <c r="B41" s="135" t="s">
        <v>60</v>
      </c>
      <c r="C41" s="136" t="s">
        <v>61</v>
      </c>
      <c r="D41" s="137">
        <v>405073.40000000014</v>
      </c>
      <c r="E41" s="70">
        <f t="shared" si="0"/>
        <v>1.5299488932129335E-3</v>
      </c>
      <c r="F41" s="138">
        <f>'C2.1 - Stoka C2.1'!M81</f>
        <v>619.74160000000006</v>
      </c>
      <c r="G41" s="139">
        <f t="shared" si="1"/>
        <v>1.001529948893213</v>
      </c>
      <c r="H41" s="140">
        <f>'C2.1 - Stoka C2.1'!P81</f>
        <v>405692.87030000001</v>
      </c>
      <c r="I41" s="300">
        <v>0.1</v>
      </c>
      <c r="J41" s="301">
        <f t="shared" si="2"/>
        <v>6197.4160000000002</v>
      </c>
    </row>
    <row r="42" spans="2:10" s="128" customFormat="1" ht="20.100000000000001" customHeight="1" x14ac:dyDescent="0.2">
      <c r="B42" s="135" t="s">
        <v>62</v>
      </c>
      <c r="C42" s="136" t="s">
        <v>63</v>
      </c>
      <c r="D42" s="137">
        <v>125750.59999999999</v>
      </c>
      <c r="E42" s="70">
        <f t="shared" si="0"/>
        <v>-6.2453725866914347E-2</v>
      </c>
      <c r="F42" s="138">
        <f>'C2.2 - Stoka C2.2'!M83</f>
        <v>-7853.593499999999</v>
      </c>
      <c r="G42" s="139">
        <f t="shared" si="1"/>
        <v>0.93754627413308567</v>
      </c>
      <c r="H42" s="140">
        <f>'C2.2 - Stoka C2.2'!P83</f>
        <v>117896.98619999998</v>
      </c>
      <c r="I42" s="300">
        <v>-1.1000000000000001</v>
      </c>
      <c r="J42" s="301">
        <f t="shared" si="2"/>
        <v>7139.6304545454532</v>
      </c>
    </row>
    <row r="43" spans="2:10" s="128" customFormat="1" ht="20.100000000000001" customHeight="1" x14ac:dyDescent="0.2">
      <c r="B43" s="135" t="s">
        <v>64</v>
      </c>
      <c r="C43" s="136" t="s">
        <v>65</v>
      </c>
      <c r="D43" s="137">
        <v>1006131.2999999999</v>
      </c>
      <c r="E43" s="70">
        <f t="shared" si="0"/>
        <v>3.2861812369816942E-3</v>
      </c>
      <c r="F43" s="138">
        <f>'C2.3 - Stoka C2.3'!M88</f>
        <v>3306.3298</v>
      </c>
      <c r="G43" s="139">
        <f t="shared" si="1"/>
        <v>1.0032861812369818</v>
      </c>
      <c r="H43" s="140">
        <f>'C2.3 - Stoka C2.3'!P88</f>
        <v>1009437.4708</v>
      </c>
      <c r="I43" s="300">
        <v>0.5</v>
      </c>
      <c r="J43" s="301">
        <f t="shared" si="2"/>
        <v>6612.6596</v>
      </c>
    </row>
    <row r="44" spans="2:10" s="128" customFormat="1" ht="20.100000000000001" customHeight="1" x14ac:dyDescent="0.2">
      <c r="B44" s="135" t="s">
        <v>66</v>
      </c>
      <c r="C44" s="136" t="s">
        <v>67</v>
      </c>
      <c r="D44" s="137">
        <v>794892.9</v>
      </c>
      <c r="E44" s="70">
        <f t="shared" si="0"/>
        <v>-9.0676127563851696E-4</v>
      </c>
      <c r="F44" s="138">
        <f>'C3 - Stoka C3'!M85</f>
        <v>-720.77810000000011</v>
      </c>
      <c r="G44" s="139">
        <f t="shared" si="1"/>
        <v>0.99909323872436151</v>
      </c>
      <c r="H44" s="140">
        <f>'C3 - Stoka C3'!P85</f>
        <v>794172.11469999992</v>
      </c>
      <c r="I44" s="300">
        <v>-0.1</v>
      </c>
      <c r="J44" s="301">
        <f t="shared" si="2"/>
        <v>7207.7810000000009</v>
      </c>
    </row>
    <row r="45" spans="2:10" s="128" customFormat="1" ht="20.100000000000001" customHeight="1" x14ac:dyDescent="0.2">
      <c r="B45" s="135" t="s">
        <v>68</v>
      </c>
      <c r="C45" s="136" t="s">
        <v>69</v>
      </c>
      <c r="D45" s="137">
        <v>544851.5</v>
      </c>
      <c r="E45" s="70">
        <f t="shared" si="0"/>
        <v>-2.2777024565409105E-3</v>
      </c>
      <c r="F45" s="138">
        <f>'C4 - Stoka C4'!M89</f>
        <v>-1241.0095999999999</v>
      </c>
      <c r="G45" s="139">
        <f t="shared" si="1"/>
        <v>0.99772229754345909</v>
      </c>
      <c r="H45" s="140">
        <f>'C4 - Stoka C4'!P89</f>
        <v>543610.6237</v>
      </c>
      <c r="I45" s="300">
        <v>-0.2</v>
      </c>
      <c r="J45" s="301">
        <f t="shared" si="2"/>
        <v>6205.0479999999989</v>
      </c>
    </row>
    <row r="46" spans="2:10" s="128" customFormat="1" ht="20.100000000000001" customHeight="1" x14ac:dyDescent="0.2">
      <c r="B46" s="135" t="s">
        <v>4</v>
      </c>
      <c r="C46" s="136" t="s">
        <v>70</v>
      </c>
      <c r="D46" s="137">
        <v>1232518.8999999999</v>
      </c>
      <c r="E46" s="70">
        <f t="shared" si="0"/>
        <v>-1.8911651577919008E-3</v>
      </c>
      <c r="F46" s="138">
        <f>'D - Stoka D'!M82</f>
        <v>-2330.8968</v>
      </c>
      <c r="G46" s="139">
        <f t="shared" si="1"/>
        <v>0.99810883484220814</v>
      </c>
      <c r="H46" s="140">
        <f>'D - Stoka D'!P82</f>
        <v>1230187.8164999997</v>
      </c>
      <c r="I46" s="300">
        <v>-0.4</v>
      </c>
      <c r="J46" s="301">
        <f t="shared" si="2"/>
        <v>5827.2419999999993</v>
      </c>
    </row>
    <row r="47" spans="2:10" s="128" customFormat="1" ht="20.100000000000001" customHeight="1" x14ac:dyDescent="0.2">
      <c r="B47" s="135" t="s">
        <v>71</v>
      </c>
      <c r="C47" s="136" t="s">
        <v>72</v>
      </c>
      <c r="D47" s="137">
        <v>214892.3</v>
      </c>
      <c r="E47" s="70">
        <f t="shared" si="0"/>
        <v>-0.71452056852204116</v>
      </c>
      <c r="F47" s="138">
        <f>'E - Stoka E'!M70</f>
        <v>-153544.96836700902</v>
      </c>
      <c r="G47" s="139">
        <f t="shared" si="1"/>
        <v>0.28547943147795884</v>
      </c>
      <c r="H47" s="140">
        <f>'E - Stoka E'!P70</f>
        <v>61347.479132991015</v>
      </c>
      <c r="I47" s="300">
        <v>-16.7</v>
      </c>
      <c r="J47" s="301">
        <f t="shared" si="2"/>
        <v>9194.3094830544323</v>
      </c>
    </row>
    <row r="48" spans="2:10" s="128" customFormat="1" ht="20.100000000000001" customHeight="1" x14ac:dyDescent="0.2">
      <c r="B48" s="135" t="s">
        <v>73</v>
      </c>
      <c r="C48" s="136" t="s">
        <v>74</v>
      </c>
      <c r="D48" s="137">
        <f>+SUBTOTAL(9,D49)</f>
        <v>8748429.9000000004</v>
      </c>
      <c r="E48" s="70"/>
      <c r="F48" s="138"/>
      <c r="G48" s="139"/>
      <c r="H48" s="140"/>
      <c r="J48" s="301"/>
    </row>
    <row r="49" spans="2:10" s="128" customFormat="1" ht="20.100000000000001" customHeight="1" x14ac:dyDescent="0.2">
      <c r="B49" s="135" t="s">
        <v>75</v>
      </c>
      <c r="C49" s="136" t="s">
        <v>74</v>
      </c>
      <c r="D49" s="137">
        <v>8748429.9000000004</v>
      </c>
      <c r="E49" s="70">
        <f>F49/D49</f>
        <v>3.06470776046417E-2</v>
      </c>
      <c r="F49" s="138">
        <f>'V - Veřejná část gravitač...'!M83</f>
        <v>268113.81006406783</v>
      </c>
      <c r="G49" s="139">
        <f t="shared" si="1"/>
        <v>1.0306470776046417</v>
      </c>
      <c r="H49" s="140">
        <f>'V - Veřejná část gravitač...'!P83</f>
        <v>9016543.7444640677</v>
      </c>
      <c r="I49" s="128">
        <v>48.509999999999991</v>
      </c>
      <c r="J49" s="301">
        <f t="shared" si="2"/>
        <v>5526.9802115866396</v>
      </c>
    </row>
    <row r="50" spans="2:10" s="128" customFormat="1" ht="20.100000000000001" customHeight="1" x14ac:dyDescent="0.2">
      <c r="B50" s="135" t="s">
        <v>76</v>
      </c>
      <c r="C50" s="136" t="s">
        <v>77</v>
      </c>
      <c r="D50" s="137">
        <f>+SUBTOTAL(9,D51:D55)</f>
        <v>893182.6</v>
      </c>
      <c r="E50" s="70"/>
      <c r="F50" s="138"/>
      <c r="G50" s="139"/>
      <c r="H50" s="140"/>
    </row>
    <row r="51" spans="2:10" s="128" customFormat="1" ht="20.100000000000001" customHeight="1" x14ac:dyDescent="0.2">
      <c r="B51" s="135" t="s">
        <v>78</v>
      </c>
      <c r="C51" s="136" t="s">
        <v>79</v>
      </c>
      <c r="D51" s="137">
        <v>253789.80000000005</v>
      </c>
      <c r="E51" s="70">
        <f>F51/D51</f>
        <v>0</v>
      </c>
      <c r="F51" s="138">
        <f>'SO 03.1 - ČSe - stavební ...'!M53</f>
        <v>0</v>
      </c>
      <c r="G51" s="139">
        <f t="shared" si="1"/>
        <v>1</v>
      </c>
      <c r="H51" s="140">
        <f t="shared" ref="H51:H56" si="3">IF(ISBLANK($D51),"",ROUND($D51-F51,2))</f>
        <v>253789.8</v>
      </c>
    </row>
    <row r="52" spans="2:10" s="128" customFormat="1" ht="20.100000000000001" customHeight="1" x14ac:dyDescent="0.2">
      <c r="B52" s="135" t="s">
        <v>80</v>
      </c>
      <c r="C52" s="136" t="s">
        <v>81</v>
      </c>
      <c r="D52" s="137">
        <v>287526.19999999995</v>
      </c>
      <c r="E52" s="70">
        <f>F52/D52</f>
        <v>-5.2409423558618315E-2</v>
      </c>
      <c r="F52" s="138">
        <f>'SO 03.2 - Výtlačný řad Ve'!M77</f>
        <v>-15069.082399999999</v>
      </c>
      <c r="G52" s="139">
        <f t="shared" si="1"/>
        <v>0.94759057644138167</v>
      </c>
      <c r="H52" s="140">
        <f>'SO 03.2 - Výtlačný řad Ve'!P77</f>
        <v>272456.97200000001</v>
      </c>
      <c r="I52" s="300">
        <v>-5</v>
      </c>
      <c r="J52" s="301">
        <f t="shared" ref="J52" si="4">+F52/I52</f>
        <v>3013.81648</v>
      </c>
    </row>
    <row r="53" spans="2:10" s="128" customFormat="1" ht="20.100000000000001" customHeight="1" x14ac:dyDescent="0.2">
      <c r="B53" s="135" t="s">
        <v>82</v>
      </c>
      <c r="C53" s="136" t="s">
        <v>83</v>
      </c>
      <c r="D53" s="137">
        <v>88026.1</v>
      </c>
      <c r="E53" s="70">
        <f>F53/D53</f>
        <v>-1.2263597955606352E-2</v>
      </c>
      <c r="F53" s="138">
        <f>'SO 03.3 - ČSe - přípojka nn'!L31</f>
        <v>-1079.5167000000004</v>
      </c>
      <c r="G53" s="139">
        <f t="shared" si="1"/>
        <v>0.98773640204439361</v>
      </c>
      <c r="H53" s="140">
        <f t="shared" si="3"/>
        <v>89105.62</v>
      </c>
    </row>
    <row r="54" spans="2:10" s="128" customFormat="1" ht="20.100000000000001" customHeight="1" x14ac:dyDescent="0.2">
      <c r="B54" s="135" t="s">
        <v>84</v>
      </c>
      <c r="C54" s="136" t="s">
        <v>85</v>
      </c>
      <c r="D54" s="137">
        <v>0</v>
      </c>
      <c r="E54" s="70">
        <v>0</v>
      </c>
      <c r="F54" s="138">
        <v>0</v>
      </c>
      <c r="G54" s="139">
        <v>0</v>
      </c>
      <c r="H54" s="140">
        <v>0</v>
      </c>
    </row>
    <row r="55" spans="2:10" s="128" customFormat="1" ht="20.100000000000001" customHeight="1" x14ac:dyDescent="0.2">
      <c r="B55" s="135" t="s">
        <v>86</v>
      </c>
      <c r="C55" s="136" t="s">
        <v>87</v>
      </c>
      <c r="D55" s="137">
        <v>263840.5</v>
      </c>
      <c r="E55" s="70">
        <f>F55/D55</f>
        <v>0</v>
      </c>
      <c r="F55" s="138">
        <f>'PS 03.2 - ČSe - strojně -...'!BH25</f>
        <v>0</v>
      </c>
      <c r="G55" s="139">
        <f t="shared" si="1"/>
        <v>1</v>
      </c>
      <c r="H55" s="140">
        <f t="shared" si="3"/>
        <v>263840.5</v>
      </c>
    </row>
    <row r="56" spans="2:10" s="128" customFormat="1" ht="20.100000000000001" customHeight="1" x14ac:dyDescent="0.2">
      <c r="B56" s="135" t="s">
        <v>88</v>
      </c>
      <c r="C56" s="136" t="s">
        <v>89</v>
      </c>
      <c r="D56" s="137">
        <v>2276928</v>
      </c>
      <c r="E56" s="70">
        <f>F56/D56</f>
        <v>0</v>
      </c>
      <c r="F56" s="138">
        <f>'VN - Vedlejší a ostatní n...'!BK33</f>
        <v>0</v>
      </c>
      <c r="G56" s="139">
        <f t="shared" si="1"/>
        <v>1</v>
      </c>
      <c r="H56" s="140">
        <f t="shared" si="3"/>
        <v>2276928</v>
      </c>
    </row>
    <row r="57" spans="2:10" s="6" customFormat="1" ht="20.100000000000001" customHeight="1" x14ac:dyDescent="0.2">
      <c r="B57" s="181"/>
      <c r="C57" s="182" t="str">
        <f>+C14</f>
        <v>PÍSKOVÁ LHOTA, ZÁMOSTÍ SPLAŠKOVÁ KANALIZACE- Uznatelné náklady stavby</v>
      </c>
      <c r="D57" s="183">
        <f>+ROUND(SUBTOTAL(9,D14:D56),2)</f>
        <v>81317332.599999994</v>
      </c>
      <c r="E57" s="70"/>
      <c r="F57" s="183">
        <f>+ROUND(SUM(F17:F56),2)</f>
        <v>97967.12</v>
      </c>
      <c r="G57" s="184"/>
      <c r="H57" s="183">
        <f>+ROUND(SUM(H14:H56),2)-667036.98</f>
        <v>80752600.469999999</v>
      </c>
      <c r="I57" s="128">
        <f>SUM(I17:I56)</f>
        <v>41.579999999999991</v>
      </c>
      <c r="J57" s="301">
        <f t="shared" ref="J57" si="5">+F57/I57</f>
        <v>2356.1115921115925</v>
      </c>
    </row>
    <row r="58" spans="2:10" s="6" customFormat="1" ht="20.100000000000001" customHeight="1" x14ac:dyDescent="0.2">
      <c r="B58" s="6" t="s">
        <v>849</v>
      </c>
      <c r="D58" s="7" t="s">
        <v>923</v>
      </c>
      <c r="G58" s="6" t="s">
        <v>848</v>
      </c>
    </row>
    <row r="60" spans="2:10" x14ac:dyDescent="0.2">
      <c r="F60" s="226"/>
    </row>
    <row r="61" spans="2:10" ht="72.75" customHeight="1" x14ac:dyDescent="0.2">
      <c r="B61"/>
      <c r="C61" s="315" t="s">
        <v>1222</v>
      </c>
      <c r="D61" s="316" t="s">
        <v>1220</v>
      </c>
      <c r="E61" s="317"/>
      <c r="F61"/>
      <c r="G61" s="318" t="s">
        <v>1221</v>
      </c>
      <c r="H61" s="319"/>
    </row>
    <row r="62" spans="2:10" ht="15.75" x14ac:dyDescent="0.2">
      <c r="B62"/>
      <c r="C62" s="315"/>
      <c r="D62" s="316"/>
      <c r="E62" s="317"/>
      <c r="F62"/>
      <c r="G62" s="318"/>
      <c r="H62"/>
    </row>
    <row r="63" spans="2:10" ht="15.75" x14ac:dyDescent="0.2">
      <c r="B63"/>
      <c r="C63" s="315" t="s">
        <v>1223</v>
      </c>
      <c r="D63" s="316" t="s">
        <v>835</v>
      </c>
      <c r="E63" s="317"/>
      <c r="F63"/>
      <c r="G63" s="315" t="s">
        <v>835</v>
      </c>
      <c r="H63"/>
    </row>
  </sheetData>
  <sheetProtection formatColumns="0" formatRows="0"/>
  <autoFilter ref="B11:H57" xr:uid="{6FE05AF7-5477-4B51-BAA2-D443B502422B}">
    <filterColumn colId="3" showButton="0"/>
    <filterColumn colId="5" showButton="0"/>
  </autoFilter>
  <mergeCells count="5">
    <mergeCell ref="E11:F11"/>
    <mergeCell ref="G11:H11"/>
    <mergeCell ref="E10:F10"/>
    <mergeCell ref="G10:H10"/>
    <mergeCell ref="D2:H2"/>
  </mergeCells>
  <conditionalFormatting sqref="D2">
    <cfRule type="cellIs" dxfId="548" priority="2" operator="lessThan">
      <formula>0</formula>
    </cfRule>
  </conditionalFormatting>
  <conditionalFormatting sqref="D1">
    <cfRule type="cellIs" dxfId="547" priority="1" operator="lessThan">
      <formula>0</formula>
    </cfRule>
  </conditionalFormatting>
  <printOptions horizontalCentered="1"/>
  <pageMargins left="0.39370078740157483" right="0.39370078740157483" top="0.39370078740157483" bottom="0.39370078740157483" header="0" footer="0"/>
  <pageSetup paperSize="8" scale="77" fitToHeight="2" orientation="portrait" r:id="rId1"/>
  <headerFooter>
    <oddFooter>&amp;CStrana &amp;P z &amp;N</oddFooter>
  </headerFooter>
  <rowBreaks count="1" manualBreakCount="1">
    <brk id="46" max="9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Q86"/>
  <sheetViews>
    <sheetView showGridLines="0" view="pageBreakPreview" topLeftCell="A55" zoomScale="60" zoomScaleNormal="100" workbookViewId="0">
      <selection activeCell="H82" sqref="H82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4.33203125" style="8" customWidth="1"/>
    <col min="11" max="11" width="9.33203125" style="8"/>
    <col min="12" max="12" width="15.33203125" style="8" bestFit="1" customWidth="1"/>
    <col min="13" max="13" width="18.5" style="8" bestFit="1" customWidth="1"/>
    <col min="14" max="14" width="9.33203125" style="8"/>
    <col min="15" max="15" width="16.6640625" style="8" bestFit="1" customWidth="1"/>
    <col min="16" max="16" width="19.5" style="8" bestFit="1" customWidth="1"/>
    <col min="17" max="17" width="15.83203125" style="8" customWidth="1"/>
    <col min="18" max="16384" width="9.33203125" style="8"/>
  </cols>
  <sheetData>
    <row r="1" spans="2:17" ht="18.95" customHeight="1" x14ac:dyDescent="0.2">
      <c r="F1" s="11"/>
      <c r="G1" s="89"/>
      <c r="H1" s="88"/>
      <c r="I1" s="8"/>
      <c r="J1" s="9"/>
    </row>
    <row r="2" spans="2:17" s="88" customFormat="1" ht="18" customHeight="1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17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17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17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17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17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17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A8 - Stoka A8</v>
      </c>
      <c r="M8" s="150"/>
      <c r="O8" s="151"/>
    </row>
    <row r="9" spans="2:17" s="15" customFormat="1" ht="20.100000000000001" customHeight="1" x14ac:dyDescent="0.2">
      <c r="C9" s="174"/>
      <c r="D9" s="176"/>
      <c r="E9" s="176"/>
      <c r="F9" s="176"/>
      <c r="G9" s="176"/>
      <c r="H9" s="176"/>
      <c r="I9" s="177"/>
      <c r="J9" s="178"/>
      <c r="K9" s="339" t="s">
        <v>1208</v>
      </c>
      <c r="L9" s="339"/>
      <c r="M9" s="340"/>
      <c r="N9" s="341" t="s">
        <v>1215</v>
      </c>
      <c r="O9" s="341"/>
      <c r="P9" s="342"/>
    </row>
    <row r="10" spans="2:17" s="15" customFormat="1" ht="24" customHeight="1" x14ac:dyDescent="0.2">
      <c r="C10" s="16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</row>
    <row r="11" spans="2:17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17" s="121" customFormat="1" ht="22.9" customHeight="1" x14ac:dyDescent="0.25">
      <c r="B12" s="120"/>
      <c r="C12" s="152" t="s">
        <v>448</v>
      </c>
      <c r="D12" s="120"/>
      <c r="E12" s="120"/>
      <c r="F12" s="120"/>
      <c r="G12" s="120"/>
      <c r="H12" s="120"/>
      <c r="I12" s="153"/>
      <c r="J12" s="154">
        <f>+SUBTOTAL(9,J13:J82)</f>
        <v>280755.59999999998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17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+SUBTOTAL(9,J14:J82)</f>
        <v>280755.59999999998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17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+SUBTOTAL(9,J15:J35)</f>
        <v>116659.90000000001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SUM(M15:M35)</f>
        <v>-2967.0842000000002</v>
      </c>
      <c r="N14" s="278" t="str">
        <f>IF(ISBLANK(H14),"",H14-K14)</f>
        <v/>
      </c>
      <c r="O14" s="272" t="str">
        <f>IF(ISBLANK(H14),"",J14-L14)</f>
        <v/>
      </c>
      <c r="P14" s="272">
        <f>SUM(P15:P35)</f>
        <v>113692.79349999999</v>
      </c>
      <c r="Q14" s="218" t="s">
        <v>1216</v>
      </c>
    </row>
    <row r="15" spans="2:17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26.13</v>
      </c>
      <c r="I15" s="61">
        <v>40.770000000000003</v>
      </c>
      <c r="J15" s="60">
        <v>1065.3</v>
      </c>
      <c r="K15" s="68">
        <f>ROUND(23.2/23.8*Q15-Q15,2)</f>
        <v>-0.7</v>
      </c>
      <c r="L15" s="69">
        <f>I15</f>
        <v>40.770000000000003</v>
      </c>
      <c r="M15" s="273">
        <f>K15*L15</f>
        <v>-28.539000000000001</v>
      </c>
      <c r="N15" s="71">
        <f>H15+K15</f>
        <v>25.43</v>
      </c>
      <c r="O15" s="72">
        <f>I15</f>
        <v>40.770000000000003</v>
      </c>
      <c r="P15" s="274">
        <f>N15*O15</f>
        <v>1036.7811000000002</v>
      </c>
      <c r="Q15" s="237">
        <f>ROUND(23.8/22.53*H15,2)</f>
        <v>27.6</v>
      </c>
    </row>
    <row r="16" spans="2:17" s="121" customFormat="1" ht="16.5" customHeight="1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49.88</v>
      </c>
      <c r="I16" s="61">
        <v>55.24</v>
      </c>
      <c r="J16" s="60">
        <v>2755.4</v>
      </c>
      <c r="K16" s="68">
        <v>0</v>
      </c>
      <c r="L16" s="69">
        <f t="shared" ref="L16:L79" si="0">I16</f>
        <v>55.24</v>
      </c>
      <c r="M16" s="273">
        <f t="shared" ref="M16:M79" si="1">K16*L16</f>
        <v>0</v>
      </c>
      <c r="N16" s="71">
        <f t="shared" ref="N16:N79" si="2">H16+K16</f>
        <v>49.88</v>
      </c>
      <c r="O16" s="72">
        <f t="shared" ref="O16:O79" si="3">I16</f>
        <v>55.24</v>
      </c>
      <c r="P16" s="274">
        <f t="shared" ref="P16:P79" si="4">N16*O16</f>
        <v>2755.3712</v>
      </c>
      <c r="Q16" s="237">
        <f t="shared" ref="Q16:Q79" si="5">ROUND(23.8/22.53*H16,2)</f>
        <v>52.69</v>
      </c>
    </row>
    <row r="17" spans="2:17" s="121" customFormat="1" ht="16.5" customHeight="1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26.13</v>
      </c>
      <c r="I17" s="61">
        <v>98.64</v>
      </c>
      <c r="J17" s="60">
        <v>2577.5</v>
      </c>
      <c r="K17" s="68">
        <v>0</v>
      </c>
      <c r="L17" s="69">
        <f t="shared" si="0"/>
        <v>98.64</v>
      </c>
      <c r="M17" s="273">
        <f t="shared" si="1"/>
        <v>0</v>
      </c>
      <c r="N17" s="71">
        <f t="shared" si="2"/>
        <v>26.13</v>
      </c>
      <c r="O17" s="72">
        <f t="shared" si="3"/>
        <v>98.64</v>
      </c>
      <c r="P17" s="274">
        <f t="shared" si="4"/>
        <v>2577.4632000000001</v>
      </c>
      <c r="Q17" s="237">
        <f t="shared" si="5"/>
        <v>27.6</v>
      </c>
    </row>
    <row r="18" spans="2:17" s="121" customFormat="1" ht="16.5" customHeight="1" x14ac:dyDescent="0.2">
      <c r="B18" s="120"/>
      <c r="C18" s="56" t="s">
        <v>105</v>
      </c>
      <c r="D18" s="56" t="s">
        <v>96</v>
      </c>
      <c r="E18" s="57" t="s">
        <v>145</v>
      </c>
      <c r="F18" s="58" t="s">
        <v>146</v>
      </c>
      <c r="G18" s="59" t="s">
        <v>133</v>
      </c>
      <c r="H18" s="60">
        <v>2.2000000000000002</v>
      </c>
      <c r="I18" s="61">
        <v>147.30000000000001</v>
      </c>
      <c r="J18" s="60">
        <v>324.10000000000002</v>
      </c>
      <c r="K18" s="68">
        <f>ROUND(23.2/23.8*Q18-Q18,2)</f>
        <v>-0.06</v>
      </c>
      <c r="L18" s="69">
        <f t="shared" si="0"/>
        <v>147.30000000000001</v>
      </c>
      <c r="M18" s="273">
        <f t="shared" si="1"/>
        <v>-8.838000000000001</v>
      </c>
      <c r="N18" s="71">
        <f t="shared" si="2"/>
        <v>2.14</v>
      </c>
      <c r="O18" s="72">
        <f t="shared" si="3"/>
        <v>147.30000000000001</v>
      </c>
      <c r="P18" s="274">
        <f t="shared" si="4"/>
        <v>315.22200000000004</v>
      </c>
      <c r="Q18" s="237">
        <f t="shared" si="5"/>
        <v>2.3199999999999998</v>
      </c>
    </row>
    <row r="19" spans="2:17" s="121" customFormat="1" ht="16.5" customHeight="1" x14ac:dyDescent="0.2">
      <c r="B19" s="120"/>
      <c r="C19" s="56" t="s">
        <v>109</v>
      </c>
      <c r="D19" s="56" t="s">
        <v>96</v>
      </c>
      <c r="E19" s="57" t="s">
        <v>155</v>
      </c>
      <c r="F19" s="58" t="s">
        <v>156</v>
      </c>
      <c r="G19" s="59" t="s">
        <v>150</v>
      </c>
      <c r="H19" s="60">
        <v>6.93</v>
      </c>
      <c r="I19" s="61">
        <v>257.77999999999997</v>
      </c>
      <c r="J19" s="60">
        <v>1786.4</v>
      </c>
      <c r="K19" s="68">
        <f t="shared" ref="K19:K41" si="6">ROUND(23.2/23.8*Q19-Q19,2)</f>
        <v>-0.18</v>
      </c>
      <c r="L19" s="69">
        <f t="shared" si="0"/>
        <v>257.77999999999997</v>
      </c>
      <c r="M19" s="273">
        <f t="shared" si="1"/>
        <v>-46.400399999999991</v>
      </c>
      <c r="N19" s="71">
        <f t="shared" si="2"/>
        <v>6.75</v>
      </c>
      <c r="O19" s="72">
        <f t="shared" si="3"/>
        <v>257.77999999999997</v>
      </c>
      <c r="P19" s="274">
        <f t="shared" si="4"/>
        <v>1740.0149999999999</v>
      </c>
      <c r="Q19" s="237">
        <f t="shared" si="5"/>
        <v>7.32</v>
      </c>
    </row>
    <row r="20" spans="2:17" s="121" customFormat="1" ht="16.5" customHeight="1" x14ac:dyDescent="0.2">
      <c r="B20" s="120"/>
      <c r="C20" s="56" t="s">
        <v>112</v>
      </c>
      <c r="D20" s="56" t="s">
        <v>96</v>
      </c>
      <c r="E20" s="57" t="s">
        <v>157</v>
      </c>
      <c r="F20" s="58" t="s">
        <v>158</v>
      </c>
      <c r="G20" s="59" t="s">
        <v>150</v>
      </c>
      <c r="H20" s="60">
        <v>24.32</v>
      </c>
      <c r="I20" s="61">
        <v>257.77999999999997</v>
      </c>
      <c r="J20" s="60">
        <v>6269.2</v>
      </c>
      <c r="K20" s="68">
        <f t="shared" si="6"/>
        <v>-0.65</v>
      </c>
      <c r="L20" s="69">
        <f t="shared" si="0"/>
        <v>257.77999999999997</v>
      </c>
      <c r="M20" s="273">
        <f t="shared" si="1"/>
        <v>-167.55699999999999</v>
      </c>
      <c r="N20" s="71">
        <f t="shared" si="2"/>
        <v>23.67</v>
      </c>
      <c r="O20" s="72">
        <f t="shared" si="3"/>
        <v>257.77999999999997</v>
      </c>
      <c r="P20" s="274">
        <f t="shared" si="4"/>
        <v>6101.6525999999994</v>
      </c>
      <c r="Q20" s="237">
        <f t="shared" si="5"/>
        <v>25.69</v>
      </c>
    </row>
    <row r="21" spans="2:17" s="121" customFormat="1" ht="16.5" customHeight="1" x14ac:dyDescent="0.2">
      <c r="B21" s="120"/>
      <c r="C21" s="56" t="s">
        <v>115</v>
      </c>
      <c r="D21" s="56" t="s">
        <v>96</v>
      </c>
      <c r="E21" s="57" t="s">
        <v>160</v>
      </c>
      <c r="F21" s="58" t="s">
        <v>161</v>
      </c>
      <c r="G21" s="59" t="s">
        <v>150</v>
      </c>
      <c r="H21" s="60">
        <v>7.3</v>
      </c>
      <c r="I21" s="61">
        <v>13.15</v>
      </c>
      <c r="J21" s="60">
        <v>96</v>
      </c>
      <c r="K21" s="68">
        <f t="shared" si="6"/>
        <v>-0.19</v>
      </c>
      <c r="L21" s="69">
        <f t="shared" si="0"/>
        <v>13.15</v>
      </c>
      <c r="M21" s="273">
        <f t="shared" si="1"/>
        <v>-2.4984999999999999</v>
      </c>
      <c r="N21" s="71">
        <f t="shared" si="2"/>
        <v>7.1099999999999994</v>
      </c>
      <c r="O21" s="72">
        <f t="shared" si="3"/>
        <v>13.15</v>
      </c>
      <c r="P21" s="274">
        <f t="shared" si="4"/>
        <v>93.496499999999997</v>
      </c>
      <c r="Q21" s="237">
        <f t="shared" si="5"/>
        <v>7.71</v>
      </c>
    </row>
    <row r="22" spans="2:17" s="121" customFormat="1" ht="16.5" customHeight="1" x14ac:dyDescent="0.2">
      <c r="B22" s="120"/>
      <c r="C22" s="56" t="s">
        <v>118</v>
      </c>
      <c r="D22" s="56" t="s">
        <v>96</v>
      </c>
      <c r="E22" s="57" t="s">
        <v>163</v>
      </c>
      <c r="F22" s="58" t="s">
        <v>164</v>
      </c>
      <c r="G22" s="59" t="s">
        <v>150</v>
      </c>
      <c r="H22" s="60">
        <v>21.27</v>
      </c>
      <c r="I22" s="61">
        <v>315.64999999999998</v>
      </c>
      <c r="J22" s="60">
        <v>6713.9</v>
      </c>
      <c r="K22" s="68">
        <f t="shared" si="6"/>
        <v>-0.56999999999999995</v>
      </c>
      <c r="L22" s="69">
        <f t="shared" si="0"/>
        <v>315.64999999999998</v>
      </c>
      <c r="M22" s="273">
        <f t="shared" si="1"/>
        <v>-179.92049999999998</v>
      </c>
      <c r="N22" s="71">
        <f t="shared" si="2"/>
        <v>20.7</v>
      </c>
      <c r="O22" s="72">
        <f t="shared" si="3"/>
        <v>315.64999999999998</v>
      </c>
      <c r="P22" s="274">
        <f t="shared" si="4"/>
        <v>6533.954999999999</v>
      </c>
      <c r="Q22" s="237">
        <f t="shared" si="5"/>
        <v>22.47</v>
      </c>
    </row>
    <row r="23" spans="2:17" s="121" customFormat="1" ht="16.5" customHeight="1" x14ac:dyDescent="0.2">
      <c r="B23" s="120"/>
      <c r="C23" s="56" t="s">
        <v>121</v>
      </c>
      <c r="D23" s="56" t="s">
        <v>96</v>
      </c>
      <c r="E23" s="57" t="s">
        <v>166</v>
      </c>
      <c r="F23" s="58" t="s">
        <v>167</v>
      </c>
      <c r="G23" s="59" t="s">
        <v>150</v>
      </c>
      <c r="H23" s="60">
        <v>6.38</v>
      </c>
      <c r="I23" s="61">
        <v>15.78</v>
      </c>
      <c r="J23" s="60">
        <v>100.7</v>
      </c>
      <c r="K23" s="68">
        <f t="shared" si="6"/>
        <v>-0.17</v>
      </c>
      <c r="L23" s="69">
        <f t="shared" si="0"/>
        <v>15.78</v>
      </c>
      <c r="M23" s="273">
        <f t="shared" si="1"/>
        <v>-2.6825999999999999</v>
      </c>
      <c r="N23" s="71">
        <f t="shared" si="2"/>
        <v>6.21</v>
      </c>
      <c r="O23" s="72">
        <f t="shared" si="3"/>
        <v>15.78</v>
      </c>
      <c r="P23" s="274">
        <f t="shared" si="4"/>
        <v>97.993799999999993</v>
      </c>
      <c r="Q23" s="237">
        <f t="shared" si="5"/>
        <v>6.74</v>
      </c>
    </row>
    <row r="24" spans="2:17" s="121" customFormat="1" ht="16.5" customHeight="1" x14ac:dyDescent="0.2">
      <c r="B24" s="120"/>
      <c r="C24" s="56" t="s">
        <v>124</v>
      </c>
      <c r="D24" s="56" t="s">
        <v>96</v>
      </c>
      <c r="E24" s="57" t="s">
        <v>169</v>
      </c>
      <c r="F24" s="58" t="s">
        <v>170</v>
      </c>
      <c r="G24" s="59" t="s">
        <v>150</v>
      </c>
      <c r="H24" s="60">
        <v>10.95</v>
      </c>
      <c r="I24" s="61">
        <v>837.79</v>
      </c>
      <c r="J24" s="60">
        <v>9173.7999999999993</v>
      </c>
      <c r="K24" s="68">
        <f t="shared" si="6"/>
        <v>-0.28999999999999998</v>
      </c>
      <c r="L24" s="69">
        <f t="shared" si="0"/>
        <v>837.79</v>
      </c>
      <c r="M24" s="273">
        <f t="shared" si="1"/>
        <v>-242.95909999999998</v>
      </c>
      <c r="N24" s="71">
        <f t="shared" si="2"/>
        <v>10.66</v>
      </c>
      <c r="O24" s="72">
        <f t="shared" si="3"/>
        <v>837.79</v>
      </c>
      <c r="P24" s="274">
        <f t="shared" si="4"/>
        <v>8930.8413999999993</v>
      </c>
      <c r="Q24" s="237">
        <f t="shared" si="5"/>
        <v>11.57</v>
      </c>
    </row>
    <row r="25" spans="2:17" s="121" customFormat="1" ht="16.5" customHeight="1" x14ac:dyDescent="0.2">
      <c r="B25" s="120"/>
      <c r="C25" s="56" t="s">
        <v>127</v>
      </c>
      <c r="D25" s="56" t="s">
        <v>96</v>
      </c>
      <c r="E25" s="57" t="s">
        <v>172</v>
      </c>
      <c r="F25" s="58" t="s">
        <v>173</v>
      </c>
      <c r="G25" s="59" t="s">
        <v>150</v>
      </c>
      <c r="H25" s="60">
        <v>12.75</v>
      </c>
      <c r="I25" s="61">
        <v>1116.6199999999999</v>
      </c>
      <c r="J25" s="60">
        <v>14236.9</v>
      </c>
      <c r="K25" s="68">
        <f t="shared" si="6"/>
        <v>-0.34</v>
      </c>
      <c r="L25" s="69">
        <f t="shared" si="0"/>
        <v>1116.6199999999999</v>
      </c>
      <c r="M25" s="273">
        <f t="shared" si="1"/>
        <v>-379.6508</v>
      </c>
      <c r="N25" s="71">
        <f t="shared" si="2"/>
        <v>12.41</v>
      </c>
      <c r="O25" s="72">
        <f t="shared" si="3"/>
        <v>1116.6199999999999</v>
      </c>
      <c r="P25" s="274">
        <f t="shared" si="4"/>
        <v>13857.254199999999</v>
      </c>
      <c r="Q25" s="237">
        <f t="shared" si="5"/>
        <v>13.47</v>
      </c>
    </row>
    <row r="26" spans="2:17" s="121" customFormat="1" ht="16.5" customHeight="1" x14ac:dyDescent="0.2">
      <c r="B26" s="120"/>
      <c r="C26" s="56" t="s">
        <v>130</v>
      </c>
      <c r="D26" s="56" t="s">
        <v>96</v>
      </c>
      <c r="E26" s="57" t="s">
        <v>175</v>
      </c>
      <c r="F26" s="58" t="s">
        <v>176</v>
      </c>
      <c r="G26" s="59" t="s">
        <v>108</v>
      </c>
      <c r="H26" s="60">
        <v>131.79</v>
      </c>
      <c r="I26" s="61">
        <v>99.96</v>
      </c>
      <c r="J26" s="60">
        <v>13173.7</v>
      </c>
      <c r="K26" s="68">
        <f t="shared" si="6"/>
        <v>-3.51</v>
      </c>
      <c r="L26" s="69">
        <f t="shared" si="0"/>
        <v>99.96</v>
      </c>
      <c r="M26" s="273">
        <f t="shared" si="1"/>
        <v>-350.85959999999994</v>
      </c>
      <c r="N26" s="71">
        <f t="shared" si="2"/>
        <v>128.28</v>
      </c>
      <c r="O26" s="72">
        <f t="shared" si="3"/>
        <v>99.96</v>
      </c>
      <c r="P26" s="274">
        <f t="shared" si="4"/>
        <v>12822.8688</v>
      </c>
      <c r="Q26" s="237">
        <f t="shared" si="5"/>
        <v>139.22</v>
      </c>
    </row>
    <row r="27" spans="2:17" s="121" customFormat="1" ht="16.5" customHeight="1" x14ac:dyDescent="0.2">
      <c r="B27" s="120"/>
      <c r="C27" s="56" t="s">
        <v>134</v>
      </c>
      <c r="D27" s="56" t="s">
        <v>96</v>
      </c>
      <c r="E27" s="57" t="s">
        <v>181</v>
      </c>
      <c r="F27" s="58" t="s">
        <v>182</v>
      </c>
      <c r="G27" s="59" t="s">
        <v>108</v>
      </c>
      <c r="H27" s="60">
        <v>131.79</v>
      </c>
      <c r="I27" s="61">
        <v>149.94</v>
      </c>
      <c r="J27" s="60">
        <v>19760.599999999999</v>
      </c>
      <c r="K27" s="68">
        <f t="shared" si="6"/>
        <v>-3.51</v>
      </c>
      <c r="L27" s="69">
        <f t="shared" si="0"/>
        <v>149.94</v>
      </c>
      <c r="M27" s="273">
        <f t="shared" si="1"/>
        <v>-526.2894</v>
      </c>
      <c r="N27" s="71">
        <f t="shared" si="2"/>
        <v>128.28</v>
      </c>
      <c r="O27" s="72">
        <f t="shared" si="3"/>
        <v>149.94</v>
      </c>
      <c r="P27" s="274">
        <f t="shared" si="4"/>
        <v>19234.303199999998</v>
      </c>
      <c r="Q27" s="237">
        <f t="shared" si="5"/>
        <v>139.22</v>
      </c>
    </row>
    <row r="28" spans="2:17" s="121" customFormat="1" ht="16.5" customHeight="1" x14ac:dyDescent="0.2">
      <c r="B28" s="120"/>
      <c r="C28" s="56" t="s">
        <v>2</v>
      </c>
      <c r="D28" s="56" t="s">
        <v>96</v>
      </c>
      <c r="E28" s="57" t="s">
        <v>187</v>
      </c>
      <c r="F28" s="58" t="s">
        <v>188</v>
      </c>
      <c r="G28" s="59" t="s">
        <v>150</v>
      </c>
      <c r="H28" s="60">
        <v>117.62</v>
      </c>
      <c r="I28" s="61">
        <v>98.6</v>
      </c>
      <c r="J28" s="60">
        <v>11597.3</v>
      </c>
      <c r="K28" s="68">
        <f t="shared" si="6"/>
        <v>-3.13</v>
      </c>
      <c r="L28" s="69">
        <f t="shared" si="0"/>
        <v>98.6</v>
      </c>
      <c r="M28" s="273">
        <f t="shared" si="1"/>
        <v>-308.61799999999999</v>
      </c>
      <c r="N28" s="71">
        <f t="shared" si="2"/>
        <v>114.49000000000001</v>
      </c>
      <c r="O28" s="72">
        <f t="shared" si="3"/>
        <v>98.6</v>
      </c>
      <c r="P28" s="274">
        <f t="shared" si="4"/>
        <v>11288.714</v>
      </c>
      <c r="Q28" s="237">
        <f t="shared" si="5"/>
        <v>124.25</v>
      </c>
    </row>
    <row r="29" spans="2:17" s="121" customFormat="1" ht="16.5" customHeight="1" x14ac:dyDescent="0.2">
      <c r="B29" s="120"/>
      <c r="C29" s="56" t="s">
        <v>141</v>
      </c>
      <c r="D29" s="56" t="s">
        <v>96</v>
      </c>
      <c r="E29" s="57" t="s">
        <v>190</v>
      </c>
      <c r="F29" s="58" t="s">
        <v>191</v>
      </c>
      <c r="G29" s="59" t="s">
        <v>150</v>
      </c>
      <c r="H29" s="60">
        <v>20.96</v>
      </c>
      <c r="I29" s="61">
        <v>247.39</v>
      </c>
      <c r="J29" s="60">
        <v>5185.3</v>
      </c>
      <c r="K29" s="68">
        <f t="shared" si="6"/>
        <v>-0.56000000000000005</v>
      </c>
      <c r="L29" s="69">
        <f t="shared" si="0"/>
        <v>247.39</v>
      </c>
      <c r="M29" s="273">
        <f t="shared" si="1"/>
        <v>-138.5384</v>
      </c>
      <c r="N29" s="71">
        <f t="shared" si="2"/>
        <v>20.400000000000002</v>
      </c>
      <c r="O29" s="72">
        <f t="shared" si="3"/>
        <v>247.39</v>
      </c>
      <c r="P29" s="274">
        <f t="shared" si="4"/>
        <v>5046.7560000000003</v>
      </c>
      <c r="Q29" s="237">
        <f t="shared" si="5"/>
        <v>22.14</v>
      </c>
    </row>
    <row r="30" spans="2:17" s="121" customFormat="1" ht="16.5" customHeight="1" x14ac:dyDescent="0.2">
      <c r="B30" s="120"/>
      <c r="C30" s="56" t="s">
        <v>144</v>
      </c>
      <c r="D30" s="56" t="s">
        <v>96</v>
      </c>
      <c r="E30" s="57" t="s">
        <v>193</v>
      </c>
      <c r="F30" s="58" t="s">
        <v>194</v>
      </c>
      <c r="G30" s="59" t="s">
        <v>150</v>
      </c>
      <c r="H30" s="60">
        <v>20.96</v>
      </c>
      <c r="I30" s="61">
        <v>44.72</v>
      </c>
      <c r="J30" s="60">
        <v>937.3</v>
      </c>
      <c r="K30" s="68">
        <f t="shared" si="6"/>
        <v>-0.56000000000000005</v>
      </c>
      <c r="L30" s="69">
        <f t="shared" si="0"/>
        <v>44.72</v>
      </c>
      <c r="M30" s="273">
        <f t="shared" si="1"/>
        <v>-25.043200000000002</v>
      </c>
      <c r="N30" s="71">
        <f t="shared" si="2"/>
        <v>20.400000000000002</v>
      </c>
      <c r="O30" s="72">
        <f t="shared" si="3"/>
        <v>44.72</v>
      </c>
      <c r="P30" s="274">
        <f t="shared" si="4"/>
        <v>912.28800000000012</v>
      </c>
      <c r="Q30" s="237">
        <f t="shared" si="5"/>
        <v>22.14</v>
      </c>
    </row>
    <row r="31" spans="2:17" s="121" customFormat="1" ht="16.5" customHeight="1" x14ac:dyDescent="0.2">
      <c r="B31" s="120"/>
      <c r="C31" s="56" t="s">
        <v>147</v>
      </c>
      <c r="D31" s="56" t="s">
        <v>96</v>
      </c>
      <c r="E31" s="57" t="s">
        <v>196</v>
      </c>
      <c r="F31" s="58" t="s">
        <v>197</v>
      </c>
      <c r="G31" s="59" t="s">
        <v>150</v>
      </c>
      <c r="H31" s="60">
        <v>20.96</v>
      </c>
      <c r="I31" s="61">
        <v>11.84</v>
      </c>
      <c r="J31" s="60">
        <v>248.2</v>
      </c>
      <c r="K31" s="68">
        <f t="shared" si="6"/>
        <v>-0.56000000000000005</v>
      </c>
      <c r="L31" s="69">
        <f t="shared" si="0"/>
        <v>11.84</v>
      </c>
      <c r="M31" s="273">
        <f t="shared" si="1"/>
        <v>-6.6304000000000007</v>
      </c>
      <c r="N31" s="71">
        <f t="shared" si="2"/>
        <v>20.400000000000002</v>
      </c>
      <c r="O31" s="72">
        <f t="shared" si="3"/>
        <v>11.84</v>
      </c>
      <c r="P31" s="274">
        <f t="shared" si="4"/>
        <v>241.53600000000003</v>
      </c>
      <c r="Q31" s="237">
        <f t="shared" si="5"/>
        <v>22.14</v>
      </c>
    </row>
    <row r="32" spans="2:17" s="121" customFormat="1" ht="16.5" customHeight="1" x14ac:dyDescent="0.2">
      <c r="B32" s="120"/>
      <c r="C32" s="56" t="s">
        <v>151</v>
      </c>
      <c r="D32" s="56" t="s">
        <v>96</v>
      </c>
      <c r="E32" s="57" t="s">
        <v>199</v>
      </c>
      <c r="F32" s="58" t="s">
        <v>200</v>
      </c>
      <c r="G32" s="59" t="s">
        <v>201</v>
      </c>
      <c r="H32" s="60">
        <v>41.92</v>
      </c>
      <c r="I32" s="61">
        <v>116</v>
      </c>
      <c r="J32" s="60">
        <v>4862.7</v>
      </c>
      <c r="K32" s="68">
        <f t="shared" si="6"/>
        <v>-1.1200000000000001</v>
      </c>
      <c r="L32" s="69">
        <f t="shared" si="0"/>
        <v>116</v>
      </c>
      <c r="M32" s="273">
        <f t="shared" si="1"/>
        <v>-129.92000000000002</v>
      </c>
      <c r="N32" s="71">
        <f t="shared" si="2"/>
        <v>40.800000000000004</v>
      </c>
      <c r="O32" s="72">
        <f t="shared" si="3"/>
        <v>116</v>
      </c>
      <c r="P32" s="274">
        <f t="shared" si="4"/>
        <v>4732.8</v>
      </c>
      <c r="Q32" s="237">
        <f t="shared" si="5"/>
        <v>44.28</v>
      </c>
    </row>
    <row r="33" spans="2:17" s="121" customFormat="1" ht="16.5" customHeight="1" x14ac:dyDescent="0.2">
      <c r="B33" s="120"/>
      <c r="C33" s="56" t="s">
        <v>154</v>
      </c>
      <c r="D33" s="56" t="s">
        <v>96</v>
      </c>
      <c r="E33" s="57" t="s">
        <v>203</v>
      </c>
      <c r="F33" s="58" t="s">
        <v>204</v>
      </c>
      <c r="G33" s="59" t="s">
        <v>150</v>
      </c>
      <c r="H33" s="60">
        <v>48.33</v>
      </c>
      <c r="I33" s="61">
        <v>143.36000000000001</v>
      </c>
      <c r="J33" s="60">
        <v>6928.6</v>
      </c>
      <c r="K33" s="68">
        <f t="shared" si="6"/>
        <v>-1.29</v>
      </c>
      <c r="L33" s="69">
        <f t="shared" si="0"/>
        <v>143.36000000000001</v>
      </c>
      <c r="M33" s="273">
        <f t="shared" si="1"/>
        <v>-184.93440000000001</v>
      </c>
      <c r="N33" s="71">
        <f t="shared" si="2"/>
        <v>47.04</v>
      </c>
      <c r="O33" s="72">
        <f t="shared" si="3"/>
        <v>143.36000000000001</v>
      </c>
      <c r="P33" s="274">
        <f t="shared" si="4"/>
        <v>6743.6544000000004</v>
      </c>
      <c r="Q33" s="237">
        <f t="shared" si="5"/>
        <v>51.05</v>
      </c>
    </row>
    <row r="34" spans="2:17" s="121" customFormat="1" ht="16.5" customHeight="1" x14ac:dyDescent="0.2">
      <c r="B34" s="120"/>
      <c r="C34" s="56" t="s">
        <v>1</v>
      </c>
      <c r="D34" s="56" t="s">
        <v>96</v>
      </c>
      <c r="E34" s="57" t="s">
        <v>206</v>
      </c>
      <c r="F34" s="58" t="s">
        <v>207</v>
      </c>
      <c r="G34" s="59" t="s">
        <v>150</v>
      </c>
      <c r="H34" s="60">
        <v>13.36</v>
      </c>
      <c r="I34" s="61">
        <v>318.27999999999997</v>
      </c>
      <c r="J34" s="60">
        <v>4252.2</v>
      </c>
      <c r="K34" s="68">
        <f t="shared" si="6"/>
        <v>-0.36</v>
      </c>
      <c r="L34" s="69">
        <f t="shared" si="0"/>
        <v>318.27999999999997</v>
      </c>
      <c r="M34" s="273">
        <f t="shared" si="1"/>
        <v>-114.58079999999998</v>
      </c>
      <c r="N34" s="71">
        <f t="shared" si="2"/>
        <v>13</v>
      </c>
      <c r="O34" s="72">
        <f t="shared" si="3"/>
        <v>318.27999999999997</v>
      </c>
      <c r="P34" s="274">
        <f t="shared" si="4"/>
        <v>4137.6399999999994</v>
      </c>
      <c r="Q34" s="237">
        <f t="shared" si="5"/>
        <v>14.11</v>
      </c>
    </row>
    <row r="35" spans="2:17" s="121" customFormat="1" ht="16.5" customHeight="1" x14ac:dyDescent="0.2">
      <c r="B35" s="120"/>
      <c r="C35" s="73" t="s">
        <v>159</v>
      </c>
      <c r="D35" s="73" t="s">
        <v>209</v>
      </c>
      <c r="E35" s="74" t="s">
        <v>210</v>
      </c>
      <c r="F35" s="75" t="s">
        <v>211</v>
      </c>
      <c r="G35" s="76" t="s">
        <v>201</v>
      </c>
      <c r="H35" s="77">
        <v>26.72</v>
      </c>
      <c r="I35" s="78">
        <v>172.71</v>
      </c>
      <c r="J35" s="77">
        <v>4614.8</v>
      </c>
      <c r="K35" s="68">
        <f t="shared" si="6"/>
        <v>-0.71</v>
      </c>
      <c r="L35" s="69">
        <f t="shared" si="0"/>
        <v>172.71</v>
      </c>
      <c r="M35" s="273">
        <f t="shared" si="1"/>
        <v>-122.6241</v>
      </c>
      <c r="N35" s="71">
        <f t="shared" si="2"/>
        <v>26.009999999999998</v>
      </c>
      <c r="O35" s="72">
        <f t="shared" si="3"/>
        <v>172.71</v>
      </c>
      <c r="P35" s="274">
        <f t="shared" si="4"/>
        <v>4492.1871000000001</v>
      </c>
      <c r="Q35" s="237">
        <f t="shared" si="5"/>
        <v>28.23</v>
      </c>
    </row>
    <row r="36" spans="2:17" s="170" customFormat="1" ht="22.9" customHeight="1" x14ac:dyDescent="0.2">
      <c r="B36" s="165"/>
      <c r="C36" s="252"/>
      <c r="D36" s="253" t="s">
        <v>4</v>
      </c>
      <c r="E36" s="254" t="s">
        <v>13</v>
      </c>
      <c r="F36" s="254" t="s">
        <v>222</v>
      </c>
      <c r="G36" s="252"/>
      <c r="H36" s="252"/>
      <c r="I36" s="255"/>
      <c r="J36" s="256">
        <f>+SUBTOTAL(9,J37:J38)</f>
        <v>889</v>
      </c>
      <c r="K36" s="261"/>
      <c r="L36" s="262"/>
      <c r="M36" s="279">
        <f>SUM(M37:M38)</f>
        <v>-23.676000000000002</v>
      </c>
      <c r="N36" s="280"/>
      <c r="O36" s="262"/>
      <c r="P36" s="279">
        <f>SUM(P37:P38)</f>
        <v>865.3578</v>
      </c>
      <c r="Q36" s="237">
        <f t="shared" si="5"/>
        <v>0</v>
      </c>
    </row>
    <row r="37" spans="2:17" s="121" customFormat="1" ht="16.5" customHeight="1" x14ac:dyDescent="0.2">
      <c r="B37" s="120"/>
      <c r="C37" s="56" t="s">
        <v>162</v>
      </c>
      <c r="D37" s="56" t="s">
        <v>96</v>
      </c>
      <c r="E37" s="57" t="s">
        <v>224</v>
      </c>
      <c r="F37" s="58" t="s">
        <v>225</v>
      </c>
      <c r="G37" s="59" t="s">
        <v>133</v>
      </c>
      <c r="H37" s="60">
        <v>22.53</v>
      </c>
      <c r="I37" s="61">
        <v>32.880000000000003</v>
      </c>
      <c r="J37" s="60">
        <v>740.8</v>
      </c>
      <c r="K37" s="68">
        <f t="shared" si="6"/>
        <v>-0.6</v>
      </c>
      <c r="L37" s="69">
        <f t="shared" si="0"/>
        <v>32.880000000000003</v>
      </c>
      <c r="M37" s="273">
        <f t="shared" si="1"/>
        <v>-19.728000000000002</v>
      </c>
      <c r="N37" s="71">
        <f t="shared" si="2"/>
        <v>21.93</v>
      </c>
      <c r="O37" s="72">
        <f t="shared" si="3"/>
        <v>32.880000000000003</v>
      </c>
      <c r="P37" s="274">
        <f t="shared" si="4"/>
        <v>721.05840000000001</v>
      </c>
      <c r="Q37" s="237">
        <f t="shared" si="5"/>
        <v>23.8</v>
      </c>
    </row>
    <row r="38" spans="2:17" s="121" customFormat="1" ht="16.5" customHeight="1" x14ac:dyDescent="0.2">
      <c r="B38" s="120"/>
      <c r="C38" s="56" t="s">
        <v>165</v>
      </c>
      <c r="D38" s="56" t="s">
        <v>96</v>
      </c>
      <c r="E38" s="57" t="s">
        <v>227</v>
      </c>
      <c r="F38" s="58" t="s">
        <v>228</v>
      </c>
      <c r="G38" s="59" t="s">
        <v>133</v>
      </c>
      <c r="H38" s="60">
        <v>22.53</v>
      </c>
      <c r="I38" s="61">
        <v>6.58</v>
      </c>
      <c r="J38" s="60">
        <v>148.19999999999999</v>
      </c>
      <c r="K38" s="68">
        <f t="shared" si="6"/>
        <v>-0.6</v>
      </c>
      <c r="L38" s="69">
        <f t="shared" si="0"/>
        <v>6.58</v>
      </c>
      <c r="M38" s="273">
        <f t="shared" si="1"/>
        <v>-3.948</v>
      </c>
      <c r="N38" s="71">
        <f t="shared" si="2"/>
        <v>21.93</v>
      </c>
      <c r="O38" s="72">
        <f t="shared" si="3"/>
        <v>6.58</v>
      </c>
      <c r="P38" s="274">
        <f t="shared" si="4"/>
        <v>144.29939999999999</v>
      </c>
      <c r="Q38" s="237">
        <f t="shared" si="5"/>
        <v>23.8</v>
      </c>
    </row>
    <row r="39" spans="2:17" s="170" customFormat="1" ht="22.9" customHeight="1" x14ac:dyDescent="0.2">
      <c r="B39" s="165"/>
      <c r="C39" s="252"/>
      <c r="D39" s="253" t="s">
        <v>4</v>
      </c>
      <c r="E39" s="254" t="s">
        <v>100</v>
      </c>
      <c r="F39" s="254" t="s">
        <v>229</v>
      </c>
      <c r="G39" s="252"/>
      <c r="H39" s="252"/>
      <c r="I39" s="255"/>
      <c r="J39" s="256">
        <f>+SUBTOTAL(9,J40:J41)</f>
        <v>11518.6</v>
      </c>
      <c r="K39" s="261"/>
      <c r="L39" s="262"/>
      <c r="M39" s="279">
        <f>SUM(M40:M41)</f>
        <v>-323.40569999999997</v>
      </c>
      <c r="N39" s="280"/>
      <c r="O39" s="262"/>
      <c r="P39" s="279">
        <f>SUM(P40:P41)</f>
        <v>11195.2464</v>
      </c>
      <c r="Q39" s="237">
        <f t="shared" si="5"/>
        <v>0</v>
      </c>
    </row>
    <row r="40" spans="2:17" s="121" customFormat="1" ht="16.5" customHeight="1" x14ac:dyDescent="0.2">
      <c r="B40" s="120"/>
      <c r="C40" s="56" t="s">
        <v>168</v>
      </c>
      <c r="D40" s="56" t="s">
        <v>96</v>
      </c>
      <c r="E40" s="57" t="s">
        <v>252</v>
      </c>
      <c r="F40" s="58" t="s">
        <v>253</v>
      </c>
      <c r="G40" s="59" t="s">
        <v>150</v>
      </c>
      <c r="H40" s="60">
        <v>3.31</v>
      </c>
      <c r="I40" s="61">
        <v>3239.16</v>
      </c>
      <c r="J40" s="60">
        <v>10721.6</v>
      </c>
      <c r="K40" s="68">
        <f t="shared" si="6"/>
        <v>-0.09</v>
      </c>
      <c r="L40" s="69">
        <f t="shared" si="0"/>
        <v>3239.16</v>
      </c>
      <c r="M40" s="273">
        <f t="shared" si="1"/>
        <v>-291.52439999999996</v>
      </c>
      <c r="N40" s="71">
        <f t="shared" si="2"/>
        <v>3.22</v>
      </c>
      <c r="O40" s="72">
        <f t="shared" si="3"/>
        <v>3239.16</v>
      </c>
      <c r="P40" s="274">
        <f t="shared" si="4"/>
        <v>10430.0952</v>
      </c>
      <c r="Q40" s="237">
        <f t="shared" si="5"/>
        <v>3.5</v>
      </c>
    </row>
    <row r="41" spans="2:17" s="121" customFormat="1" ht="16.5" customHeight="1" x14ac:dyDescent="0.2">
      <c r="B41" s="120"/>
      <c r="C41" s="56" t="s">
        <v>171</v>
      </c>
      <c r="D41" s="56" t="s">
        <v>96</v>
      </c>
      <c r="E41" s="57" t="s">
        <v>255</v>
      </c>
      <c r="F41" s="58" t="s">
        <v>256</v>
      </c>
      <c r="G41" s="59" t="s">
        <v>150</v>
      </c>
      <c r="H41" s="60">
        <v>0.25</v>
      </c>
      <c r="I41" s="61">
        <v>3188.13</v>
      </c>
      <c r="J41" s="60">
        <v>797</v>
      </c>
      <c r="K41" s="68">
        <f t="shared" si="6"/>
        <v>-0.01</v>
      </c>
      <c r="L41" s="69">
        <f t="shared" si="0"/>
        <v>3188.13</v>
      </c>
      <c r="M41" s="273">
        <f t="shared" si="1"/>
        <v>-31.881300000000003</v>
      </c>
      <c r="N41" s="71">
        <f t="shared" si="2"/>
        <v>0.24</v>
      </c>
      <c r="O41" s="72">
        <f t="shared" si="3"/>
        <v>3188.13</v>
      </c>
      <c r="P41" s="274">
        <f t="shared" si="4"/>
        <v>765.15120000000002</v>
      </c>
      <c r="Q41" s="237">
        <f t="shared" si="5"/>
        <v>0.26</v>
      </c>
    </row>
    <row r="42" spans="2:17" s="170" customFormat="1" ht="22.9" customHeight="1" x14ac:dyDescent="0.2">
      <c r="B42" s="165"/>
      <c r="C42" s="252"/>
      <c r="D42" s="253" t="s">
        <v>4</v>
      </c>
      <c r="E42" s="254" t="s">
        <v>105</v>
      </c>
      <c r="F42" s="254" t="s">
        <v>257</v>
      </c>
      <c r="G42" s="252"/>
      <c r="H42" s="252"/>
      <c r="I42" s="255"/>
      <c r="J42" s="256">
        <f>+SUBTOTAL(9,J43:J47)</f>
        <v>43712.3</v>
      </c>
      <c r="K42" s="261"/>
      <c r="L42" s="262"/>
      <c r="M42" s="279">
        <f>SUM(M43:M47)</f>
        <v>0</v>
      </c>
      <c r="N42" s="280"/>
      <c r="O42" s="262"/>
      <c r="P42" s="279">
        <f>SUM(P43:P47)</f>
        <v>43712.310299999997</v>
      </c>
      <c r="Q42" s="237">
        <f t="shared" si="5"/>
        <v>0</v>
      </c>
    </row>
    <row r="43" spans="2:17" s="121" customFormat="1" ht="16.5" customHeight="1" x14ac:dyDescent="0.2">
      <c r="B43" s="120"/>
      <c r="C43" s="56" t="s">
        <v>174</v>
      </c>
      <c r="D43" s="56" t="s">
        <v>96</v>
      </c>
      <c r="E43" s="57" t="s">
        <v>262</v>
      </c>
      <c r="F43" s="58" t="s">
        <v>263</v>
      </c>
      <c r="G43" s="59" t="s">
        <v>108</v>
      </c>
      <c r="H43" s="60">
        <v>26.13</v>
      </c>
      <c r="I43" s="61">
        <v>302.54000000000002</v>
      </c>
      <c r="J43" s="60">
        <v>7905.4</v>
      </c>
      <c r="K43" s="68">
        <v>0</v>
      </c>
      <c r="L43" s="69">
        <f t="shared" si="0"/>
        <v>302.54000000000002</v>
      </c>
      <c r="M43" s="273">
        <f t="shared" si="1"/>
        <v>0</v>
      </c>
      <c r="N43" s="71">
        <f t="shared" si="2"/>
        <v>26.13</v>
      </c>
      <c r="O43" s="72">
        <f t="shared" si="3"/>
        <v>302.54000000000002</v>
      </c>
      <c r="P43" s="274">
        <f t="shared" si="4"/>
        <v>7905.3702000000003</v>
      </c>
      <c r="Q43" s="237">
        <f t="shared" si="5"/>
        <v>27.6</v>
      </c>
    </row>
    <row r="44" spans="2:17" s="121" customFormat="1" ht="16.5" customHeight="1" x14ac:dyDescent="0.2">
      <c r="B44" s="120"/>
      <c r="C44" s="56" t="s">
        <v>177</v>
      </c>
      <c r="D44" s="56" t="s">
        <v>96</v>
      </c>
      <c r="E44" s="57" t="s">
        <v>268</v>
      </c>
      <c r="F44" s="58" t="s">
        <v>269</v>
      </c>
      <c r="G44" s="59" t="s">
        <v>108</v>
      </c>
      <c r="H44" s="60">
        <v>26.13</v>
      </c>
      <c r="I44" s="61">
        <v>14.18</v>
      </c>
      <c r="J44" s="60">
        <v>370.5</v>
      </c>
      <c r="K44" s="68">
        <v>0</v>
      </c>
      <c r="L44" s="69">
        <f t="shared" si="0"/>
        <v>14.18</v>
      </c>
      <c r="M44" s="273">
        <f t="shared" si="1"/>
        <v>0</v>
      </c>
      <c r="N44" s="71">
        <f t="shared" si="2"/>
        <v>26.13</v>
      </c>
      <c r="O44" s="72">
        <f t="shared" si="3"/>
        <v>14.18</v>
      </c>
      <c r="P44" s="274">
        <f t="shared" si="4"/>
        <v>370.52339999999998</v>
      </c>
      <c r="Q44" s="237">
        <f t="shared" si="5"/>
        <v>27.6</v>
      </c>
    </row>
    <row r="45" spans="2:17" s="121" customFormat="1" ht="16.5" customHeight="1" x14ac:dyDescent="0.2">
      <c r="B45" s="120"/>
      <c r="C45" s="56" t="s">
        <v>180</v>
      </c>
      <c r="D45" s="56" t="s">
        <v>96</v>
      </c>
      <c r="E45" s="57" t="s">
        <v>271</v>
      </c>
      <c r="F45" s="58" t="s">
        <v>272</v>
      </c>
      <c r="G45" s="59" t="s">
        <v>108</v>
      </c>
      <c r="H45" s="60">
        <v>49.88</v>
      </c>
      <c r="I45" s="61">
        <v>20.62</v>
      </c>
      <c r="J45" s="60">
        <v>1028.5</v>
      </c>
      <c r="K45" s="68">
        <v>0</v>
      </c>
      <c r="L45" s="69">
        <f t="shared" si="0"/>
        <v>20.62</v>
      </c>
      <c r="M45" s="273">
        <f t="shared" si="1"/>
        <v>0</v>
      </c>
      <c r="N45" s="71">
        <f t="shared" si="2"/>
        <v>49.88</v>
      </c>
      <c r="O45" s="72">
        <f t="shared" si="3"/>
        <v>20.62</v>
      </c>
      <c r="P45" s="274">
        <f t="shared" si="4"/>
        <v>1028.5256000000002</v>
      </c>
      <c r="Q45" s="237">
        <f t="shared" si="5"/>
        <v>52.69</v>
      </c>
    </row>
    <row r="46" spans="2:17" s="121" customFormat="1" ht="16.5" customHeight="1" x14ac:dyDescent="0.2">
      <c r="B46" s="120"/>
      <c r="C46" s="56" t="s">
        <v>183</v>
      </c>
      <c r="D46" s="56" t="s">
        <v>96</v>
      </c>
      <c r="E46" s="57" t="s">
        <v>274</v>
      </c>
      <c r="F46" s="58" t="s">
        <v>275</v>
      </c>
      <c r="G46" s="59" t="s">
        <v>108</v>
      </c>
      <c r="H46" s="60">
        <v>49.88</v>
      </c>
      <c r="I46" s="61">
        <v>396.71</v>
      </c>
      <c r="J46" s="60">
        <v>19787.900000000001</v>
      </c>
      <c r="K46" s="68">
        <v>0</v>
      </c>
      <c r="L46" s="69">
        <f t="shared" si="0"/>
        <v>396.71</v>
      </c>
      <c r="M46" s="273">
        <f t="shared" si="1"/>
        <v>0</v>
      </c>
      <c r="N46" s="71">
        <f t="shared" si="2"/>
        <v>49.88</v>
      </c>
      <c r="O46" s="72">
        <f t="shared" si="3"/>
        <v>396.71</v>
      </c>
      <c r="P46" s="274">
        <f t="shared" si="4"/>
        <v>19787.894799999998</v>
      </c>
      <c r="Q46" s="237">
        <f t="shared" si="5"/>
        <v>52.69</v>
      </c>
    </row>
    <row r="47" spans="2:17" s="121" customFormat="1" ht="16.5" customHeight="1" x14ac:dyDescent="0.2">
      <c r="B47" s="120"/>
      <c r="C47" s="56" t="s">
        <v>186</v>
      </c>
      <c r="D47" s="56" t="s">
        <v>96</v>
      </c>
      <c r="E47" s="57" t="s">
        <v>277</v>
      </c>
      <c r="F47" s="58" t="s">
        <v>278</v>
      </c>
      <c r="G47" s="59" t="s">
        <v>108</v>
      </c>
      <c r="H47" s="60">
        <v>26.13</v>
      </c>
      <c r="I47" s="61">
        <v>559.51</v>
      </c>
      <c r="J47" s="60">
        <v>14620</v>
      </c>
      <c r="K47" s="68">
        <v>0</v>
      </c>
      <c r="L47" s="69">
        <f t="shared" si="0"/>
        <v>559.51</v>
      </c>
      <c r="M47" s="273">
        <f t="shared" si="1"/>
        <v>0</v>
      </c>
      <c r="N47" s="71">
        <f t="shared" si="2"/>
        <v>26.13</v>
      </c>
      <c r="O47" s="72">
        <f t="shared" si="3"/>
        <v>559.51</v>
      </c>
      <c r="P47" s="274">
        <f t="shared" si="4"/>
        <v>14619.996299999999</v>
      </c>
      <c r="Q47" s="237">
        <f t="shared" si="5"/>
        <v>27.6</v>
      </c>
    </row>
    <row r="48" spans="2:17" s="170" customFormat="1" ht="22.9" customHeight="1" x14ac:dyDescent="0.2">
      <c r="B48" s="165"/>
      <c r="C48" s="252"/>
      <c r="D48" s="253" t="s">
        <v>4</v>
      </c>
      <c r="E48" s="254" t="s">
        <v>115</v>
      </c>
      <c r="F48" s="254" t="s">
        <v>288</v>
      </c>
      <c r="G48" s="252"/>
      <c r="H48" s="252"/>
      <c r="I48" s="255"/>
      <c r="J48" s="256">
        <f>+SUBTOTAL(9,J49:J71)</f>
        <v>77594.600000000006</v>
      </c>
      <c r="K48" s="261"/>
      <c r="L48" s="262"/>
      <c r="M48" s="279">
        <f>SUM(M49:M71)</f>
        <v>-1013.8019999999998</v>
      </c>
      <c r="N48" s="280"/>
      <c r="O48" s="262"/>
      <c r="P48" s="279">
        <f>SUM(P49:P71)</f>
        <v>76580.948300000018</v>
      </c>
      <c r="Q48" s="237">
        <f t="shared" si="5"/>
        <v>0</v>
      </c>
    </row>
    <row r="49" spans="2:17" s="121" customFormat="1" ht="16.5" customHeight="1" x14ac:dyDescent="0.2">
      <c r="B49" s="120"/>
      <c r="C49" s="56" t="s">
        <v>189</v>
      </c>
      <c r="D49" s="56" t="s">
        <v>96</v>
      </c>
      <c r="E49" s="57" t="s">
        <v>290</v>
      </c>
      <c r="F49" s="58" t="s">
        <v>291</v>
      </c>
      <c r="G49" s="59" t="s">
        <v>133</v>
      </c>
      <c r="H49" s="60">
        <v>2</v>
      </c>
      <c r="I49" s="61">
        <v>415.61</v>
      </c>
      <c r="J49" s="60">
        <v>831.2</v>
      </c>
      <c r="K49" s="68">
        <v>0</v>
      </c>
      <c r="L49" s="69">
        <f t="shared" si="0"/>
        <v>415.61</v>
      </c>
      <c r="M49" s="273">
        <f t="shared" si="1"/>
        <v>0</v>
      </c>
      <c r="N49" s="71">
        <f t="shared" si="2"/>
        <v>2</v>
      </c>
      <c r="O49" s="72">
        <f t="shared" si="3"/>
        <v>415.61</v>
      </c>
      <c r="P49" s="274">
        <f t="shared" si="4"/>
        <v>831.22</v>
      </c>
      <c r="Q49" s="237">
        <f t="shared" si="5"/>
        <v>2.11</v>
      </c>
    </row>
    <row r="50" spans="2:17" s="121" customFormat="1" ht="16.5" customHeight="1" x14ac:dyDescent="0.2">
      <c r="B50" s="120"/>
      <c r="C50" s="73" t="s">
        <v>192</v>
      </c>
      <c r="D50" s="73" t="s">
        <v>209</v>
      </c>
      <c r="E50" s="74" t="s">
        <v>293</v>
      </c>
      <c r="F50" s="75" t="s">
        <v>294</v>
      </c>
      <c r="G50" s="76" t="s">
        <v>133</v>
      </c>
      <c r="H50" s="77">
        <v>2</v>
      </c>
      <c r="I50" s="78">
        <v>731.26</v>
      </c>
      <c r="J50" s="77">
        <v>1462.5</v>
      </c>
      <c r="K50" s="68">
        <v>0</v>
      </c>
      <c r="L50" s="69">
        <f t="shared" si="0"/>
        <v>731.26</v>
      </c>
      <c r="M50" s="273">
        <f t="shared" si="1"/>
        <v>0</v>
      </c>
      <c r="N50" s="71">
        <f t="shared" si="2"/>
        <v>2</v>
      </c>
      <c r="O50" s="72">
        <f t="shared" si="3"/>
        <v>731.26</v>
      </c>
      <c r="P50" s="274">
        <f t="shared" si="4"/>
        <v>1462.52</v>
      </c>
      <c r="Q50" s="237">
        <f t="shared" si="5"/>
        <v>2.11</v>
      </c>
    </row>
    <row r="51" spans="2:17" s="121" customFormat="1" ht="16.5" customHeight="1" x14ac:dyDescent="0.2">
      <c r="B51" s="120"/>
      <c r="C51" s="56" t="s">
        <v>195</v>
      </c>
      <c r="D51" s="56" t="s">
        <v>96</v>
      </c>
      <c r="E51" s="57" t="s">
        <v>296</v>
      </c>
      <c r="F51" s="58" t="s">
        <v>297</v>
      </c>
      <c r="G51" s="59" t="s">
        <v>133</v>
      </c>
      <c r="H51" s="60">
        <v>22.53</v>
      </c>
      <c r="I51" s="61">
        <v>552.39</v>
      </c>
      <c r="J51" s="60">
        <v>12445.3</v>
      </c>
      <c r="K51" s="68">
        <v>-0.6</v>
      </c>
      <c r="L51" s="69">
        <f t="shared" si="0"/>
        <v>552.39</v>
      </c>
      <c r="M51" s="273">
        <f t="shared" si="1"/>
        <v>-331.43399999999997</v>
      </c>
      <c r="N51" s="71">
        <f t="shared" si="2"/>
        <v>21.93</v>
      </c>
      <c r="O51" s="72">
        <f t="shared" si="3"/>
        <v>552.39</v>
      </c>
      <c r="P51" s="274">
        <f t="shared" si="4"/>
        <v>12113.912699999999</v>
      </c>
      <c r="Q51" s="237">
        <f t="shared" si="5"/>
        <v>23.8</v>
      </c>
    </row>
    <row r="52" spans="2:17" s="121" customFormat="1" ht="16.5" customHeight="1" x14ac:dyDescent="0.2">
      <c r="B52" s="120"/>
      <c r="C52" s="73" t="s">
        <v>198</v>
      </c>
      <c r="D52" s="73" t="s">
        <v>209</v>
      </c>
      <c r="E52" s="74" t="s">
        <v>299</v>
      </c>
      <c r="F52" s="75" t="s">
        <v>300</v>
      </c>
      <c r="G52" s="76" t="s">
        <v>133</v>
      </c>
      <c r="H52" s="77">
        <v>22.53</v>
      </c>
      <c r="I52" s="78">
        <v>1060.07</v>
      </c>
      <c r="J52" s="77">
        <v>23883.4</v>
      </c>
      <c r="K52" s="68">
        <v>-0.6</v>
      </c>
      <c r="L52" s="69">
        <f t="shared" si="0"/>
        <v>1060.07</v>
      </c>
      <c r="M52" s="273">
        <f t="shared" si="1"/>
        <v>-636.04199999999992</v>
      </c>
      <c r="N52" s="71">
        <f t="shared" si="2"/>
        <v>21.93</v>
      </c>
      <c r="O52" s="72">
        <f t="shared" si="3"/>
        <v>1060.07</v>
      </c>
      <c r="P52" s="274">
        <f t="shared" si="4"/>
        <v>23247.335099999997</v>
      </c>
      <c r="Q52" s="237">
        <f t="shared" si="5"/>
        <v>23.8</v>
      </c>
    </row>
    <row r="53" spans="2:17" s="121" customFormat="1" ht="16.5" customHeight="1" x14ac:dyDescent="0.2">
      <c r="B53" s="120"/>
      <c r="C53" s="73" t="s">
        <v>202</v>
      </c>
      <c r="D53" s="73" t="s">
        <v>209</v>
      </c>
      <c r="E53" s="74" t="s">
        <v>302</v>
      </c>
      <c r="F53" s="75" t="s">
        <v>303</v>
      </c>
      <c r="G53" s="76" t="s">
        <v>99</v>
      </c>
      <c r="H53" s="77">
        <v>2</v>
      </c>
      <c r="I53" s="78">
        <v>739.15</v>
      </c>
      <c r="J53" s="77">
        <v>1478.3</v>
      </c>
      <c r="K53" s="68">
        <v>0</v>
      </c>
      <c r="L53" s="69">
        <f t="shared" si="0"/>
        <v>739.15</v>
      </c>
      <c r="M53" s="273">
        <f t="shared" si="1"/>
        <v>0</v>
      </c>
      <c r="N53" s="71">
        <f t="shared" si="2"/>
        <v>2</v>
      </c>
      <c r="O53" s="72">
        <f t="shared" si="3"/>
        <v>739.15</v>
      </c>
      <c r="P53" s="274">
        <f t="shared" si="4"/>
        <v>1478.3</v>
      </c>
      <c r="Q53" s="237">
        <f t="shared" si="5"/>
        <v>2.11</v>
      </c>
    </row>
    <row r="54" spans="2:17" s="121" customFormat="1" ht="16.5" customHeight="1" x14ac:dyDescent="0.2">
      <c r="B54" s="120"/>
      <c r="C54" s="56" t="s">
        <v>205</v>
      </c>
      <c r="D54" s="56" t="s">
        <v>96</v>
      </c>
      <c r="E54" s="57" t="s">
        <v>314</v>
      </c>
      <c r="F54" s="58" t="s">
        <v>315</v>
      </c>
      <c r="G54" s="59" t="s">
        <v>99</v>
      </c>
      <c r="H54" s="60">
        <v>1</v>
      </c>
      <c r="I54" s="61">
        <v>195.97</v>
      </c>
      <c r="J54" s="60">
        <v>196</v>
      </c>
      <c r="K54" s="68">
        <v>0</v>
      </c>
      <c r="L54" s="69">
        <f t="shared" si="0"/>
        <v>195.97</v>
      </c>
      <c r="M54" s="273">
        <f t="shared" si="1"/>
        <v>0</v>
      </c>
      <c r="N54" s="71">
        <f t="shared" si="2"/>
        <v>1</v>
      </c>
      <c r="O54" s="72">
        <f t="shared" si="3"/>
        <v>195.97</v>
      </c>
      <c r="P54" s="274">
        <f t="shared" si="4"/>
        <v>195.97</v>
      </c>
      <c r="Q54" s="237">
        <f t="shared" si="5"/>
        <v>1.06</v>
      </c>
    </row>
    <row r="55" spans="2:17" s="121" customFormat="1" ht="16.5" customHeight="1" x14ac:dyDescent="0.2">
      <c r="B55" s="120"/>
      <c r="C55" s="73" t="s">
        <v>208</v>
      </c>
      <c r="D55" s="73" t="s">
        <v>209</v>
      </c>
      <c r="E55" s="74" t="s">
        <v>317</v>
      </c>
      <c r="F55" s="75" t="s">
        <v>318</v>
      </c>
      <c r="G55" s="76" t="s">
        <v>99</v>
      </c>
      <c r="H55" s="77">
        <v>1</v>
      </c>
      <c r="I55" s="78">
        <v>660.24</v>
      </c>
      <c r="J55" s="77">
        <v>660.2</v>
      </c>
      <c r="K55" s="68">
        <v>0</v>
      </c>
      <c r="L55" s="69">
        <f t="shared" si="0"/>
        <v>660.24</v>
      </c>
      <c r="M55" s="273">
        <f t="shared" si="1"/>
        <v>0</v>
      </c>
      <c r="N55" s="71">
        <f t="shared" si="2"/>
        <v>1</v>
      </c>
      <c r="O55" s="72">
        <f t="shared" si="3"/>
        <v>660.24</v>
      </c>
      <c r="P55" s="274">
        <f t="shared" si="4"/>
        <v>660.24</v>
      </c>
      <c r="Q55" s="237">
        <f t="shared" si="5"/>
        <v>1.06</v>
      </c>
    </row>
    <row r="56" spans="2:17" s="121" customFormat="1" ht="16.5" customHeight="1" x14ac:dyDescent="0.2">
      <c r="B56" s="120"/>
      <c r="C56" s="56" t="s">
        <v>212</v>
      </c>
      <c r="D56" s="56" t="s">
        <v>96</v>
      </c>
      <c r="E56" s="57" t="s">
        <v>320</v>
      </c>
      <c r="F56" s="58" t="s">
        <v>321</v>
      </c>
      <c r="G56" s="59" t="s">
        <v>99</v>
      </c>
      <c r="H56" s="60">
        <v>1</v>
      </c>
      <c r="I56" s="61">
        <v>260.41000000000003</v>
      </c>
      <c r="J56" s="60">
        <v>260.39999999999998</v>
      </c>
      <c r="K56" s="68">
        <v>0</v>
      </c>
      <c r="L56" s="69">
        <f t="shared" si="0"/>
        <v>260.41000000000003</v>
      </c>
      <c r="M56" s="273">
        <f t="shared" si="1"/>
        <v>0</v>
      </c>
      <c r="N56" s="71">
        <f t="shared" si="2"/>
        <v>1</v>
      </c>
      <c r="O56" s="72">
        <f t="shared" si="3"/>
        <v>260.41000000000003</v>
      </c>
      <c r="P56" s="274">
        <f t="shared" si="4"/>
        <v>260.41000000000003</v>
      </c>
      <c r="Q56" s="237">
        <f t="shared" si="5"/>
        <v>1.06</v>
      </c>
    </row>
    <row r="57" spans="2:17" s="121" customFormat="1" ht="16.5" customHeight="1" x14ac:dyDescent="0.2">
      <c r="B57" s="120"/>
      <c r="C57" s="73" t="s">
        <v>215</v>
      </c>
      <c r="D57" s="73" t="s">
        <v>209</v>
      </c>
      <c r="E57" s="74" t="s">
        <v>323</v>
      </c>
      <c r="F57" s="75" t="s">
        <v>324</v>
      </c>
      <c r="G57" s="76" t="s">
        <v>99</v>
      </c>
      <c r="H57" s="77">
        <v>1.02</v>
      </c>
      <c r="I57" s="78">
        <v>1839.99</v>
      </c>
      <c r="J57" s="77">
        <v>1876.8</v>
      </c>
      <c r="K57" s="68">
        <v>0</v>
      </c>
      <c r="L57" s="69">
        <f t="shared" si="0"/>
        <v>1839.99</v>
      </c>
      <c r="M57" s="273">
        <f t="shared" si="1"/>
        <v>0</v>
      </c>
      <c r="N57" s="71">
        <f t="shared" si="2"/>
        <v>1.02</v>
      </c>
      <c r="O57" s="72">
        <f t="shared" si="3"/>
        <v>1839.99</v>
      </c>
      <c r="P57" s="274">
        <f t="shared" si="4"/>
        <v>1876.7898</v>
      </c>
      <c r="Q57" s="237">
        <f t="shared" si="5"/>
        <v>1.08</v>
      </c>
    </row>
    <row r="58" spans="2:17" s="121" customFormat="1" ht="16.5" customHeight="1" x14ac:dyDescent="0.2">
      <c r="B58" s="120"/>
      <c r="C58" s="56" t="s">
        <v>219</v>
      </c>
      <c r="D58" s="56" t="s">
        <v>96</v>
      </c>
      <c r="E58" s="57" t="s">
        <v>329</v>
      </c>
      <c r="F58" s="58" t="s">
        <v>330</v>
      </c>
      <c r="G58" s="59" t="s">
        <v>99</v>
      </c>
      <c r="H58" s="60">
        <v>1</v>
      </c>
      <c r="I58" s="61">
        <v>219.64</v>
      </c>
      <c r="J58" s="60">
        <v>219.6</v>
      </c>
      <c r="K58" s="68">
        <v>0</v>
      </c>
      <c r="L58" s="69">
        <f t="shared" si="0"/>
        <v>219.64</v>
      </c>
      <c r="M58" s="273">
        <f t="shared" si="1"/>
        <v>0</v>
      </c>
      <c r="N58" s="71">
        <f t="shared" si="2"/>
        <v>1</v>
      </c>
      <c r="O58" s="72">
        <f t="shared" si="3"/>
        <v>219.64</v>
      </c>
      <c r="P58" s="274">
        <f t="shared" si="4"/>
        <v>219.64</v>
      </c>
      <c r="Q58" s="237">
        <f t="shared" si="5"/>
        <v>1.06</v>
      </c>
    </row>
    <row r="59" spans="2:17" s="121" customFormat="1" ht="16.5" customHeight="1" x14ac:dyDescent="0.2">
      <c r="B59" s="120"/>
      <c r="C59" s="73" t="s">
        <v>223</v>
      </c>
      <c r="D59" s="73" t="s">
        <v>209</v>
      </c>
      <c r="E59" s="74" t="s">
        <v>335</v>
      </c>
      <c r="F59" s="75" t="s">
        <v>336</v>
      </c>
      <c r="G59" s="76" t="s">
        <v>99</v>
      </c>
      <c r="H59" s="77">
        <v>1.02</v>
      </c>
      <c r="I59" s="78">
        <v>1129.77</v>
      </c>
      <c r="J59" s="77">
        <v>1152.4000000000001</v>
      </c>
      <c r="K59" s="68">
        <v>0</v>
      </c>
      <c r="L59" s="69">
        <f t="shared" si="0"/>
        <v>1129.77</v>
      </c>
      <c r="M59" s="273">
        <f t="shared" si="1"/>
        <v>0</v>
      </c>
      <c r="N59" s="71">
        <f t="shared" si="2"/>
        <v>1.02</v>
      </c>
      <c r="O59" s="72">
        <f t="shared" si="3"/>
        <v>1129.77</v>
      </c>
      <c r="P59" s="274">
        <f t="shared" si="4"/>
        <v>1152.3653999999999</v>
      </c>
      <c r="Q59" s="237">
        <f t="shared" si="5"/>
        <v>1.08</v>
      </c>
    </row>
    <row r="60" spans="2:17" s="121" customFormat="1" ht="33.75" customHeight="1" x14ac:dyDescent="0.2">
      <c r="B60" s="120"/>
      <c r="C60" s="56" t="s">
        <v>226</v>
      </c>
      <c r="D60" s="56" t="s">
        <v>96</v>
      </c>
      <c r="E60" s="57" t="s">
        <v>347</v>
      </c>
      <c r="F60" s="58" t="s">
        <v>348</v>
      </c>
      <c r="G60" s="59" t="s">
        <v>133</v>
      </c>
      <c r="H60" s="60">
        <v>22.53</v>
      </c>
      <c r="I60" s="61">
        <v>68</v>
      </c>
      <c r="J60" s="60">
        <v>1532</v>
      </c>
      <c r="K60" s="68">
        <v>-0.6</v>
      </c>
      <c r="L60" s="69">
        <f t="shared" si="0"/>
        <v>68</v>
      </c>
      <c r="M60" s="273">
        <f t="shared" si="1"/>
        <v>-40.799999999999997</v>
      </c>
      <c r="N60" s="71">
        <f t="shared" si="2"/>
        <v>21.93</v>
      </c>
      <c r="O60" s="72">
        <f t="shared" si="3"/>
        <v>68</v>
      </c>
      <c r="P60" s="274">
        <f t="shared" si="4"/>
        <v>1491.24</v>
      </c>
      <c r="Q60" s="237">
        <f t="shared" si="5"/>
        <v>23.8</v>
      </c>
    </row>
    <row r="61" spans="2:17" s="121" customFormat="1" ht="16.5" customHeight="1" x14ac:dyDescent="0.2">
      <c r="B61" s="120"/>
      <c r="C61" s="56" t="s">
        <v>230</v>
      </c>
      <c r="D61" s="56" t="s">
        <v>96</v>
      </c>
      <c r="E61" s="57" t="s">
        <v>350</v>
      </c>
      <c r="F61" s="58" t="s">
        <v>351</v>
      </c>
      <c r="G61" s="59" t="s">
        <v>99</v>
      </c>
      <c r="H61" s="60">
        <v>2</v>
      </c>
      <c r="I61" s="61">
        <v>808.86</v>
      </c>
      <c r="J61" s="60">
        <v>1617.7</v>
      </c>
      <c r="K61" s="68">
        <v>0</v>
      </c>
      <c r="L61" s="69">
        <f t="shared" si="0"/>
        <v>808.86</v>
      </c>
      <c r="M61" s="273">
        <f t="shared" si="1"/>
        <v>0</v>
      </c>
      <c r="N61" s="71">
        <f t="shared" si="2"/>
        <v>2</v>
      </c>
      <c r="O61" s="72">
        <f t="shared" si="3"/>
        <v>808.86</v>
      </c>
      <c r="P61" s="274">
        <f t="shared" si="4"/>
        <v>1617.72</v>
      </c>
      <c r="Q61" s="237">
        <f t="shared" si="5"/>
        <v>2.11</v>
      </c>
    </row>
    <row r="62" spans="2:17" s="121" customFormat="1" ht="16.5" customHeight="1" x14ac:dyDescent="0.2">
      <c r="B62" s="120"/>
      <c r="C62" s="73" t="s">
        <v>233</v>
      </c>
      <c r="D62" s="73" t="s">
        <v>209</v>
      </c>
      <c r="E62" s="74" t="s">
        <v>356</v>
      </c>
      <c r="F62" s="75" t="s">
        <v>357</v>
      </c>
      <c r="G62" s="76" t="s">
        <v>99</v>
      </c>
      <c r="H62" s="77">
        <v>1</v>
      </c>
      <c r="I62" s="78">
        <v>1202.1099999999999</v>
      </c>
      <c r="J62" s="77">
        <v>1202.0999999999999</v>
      </c>
      <c r="K62" s="68">
        <v>0</v>
      </c>
      <c r="L62" s="69">
        <f t="shared" si="0"/>
        <v>1202.1099999999999</v>
      </c>
      <c r="M62" s="273">
        <f t="shared" si="1"/>
        <v>0</v>
      </c>
      <c r="N62" s="71">
        <f t="shared" si="2"/>
        <v>1</v>
      </c>
      <c r="O62" s="72">
        <f t="shared" si="3"/>
        <v>1202.1099999999999</v>
      </c>
      <c r="P62" s="274">
        <f t="shared" si="4"/>
        <v>1202.1099999999999</v>
      </c>
      <c r="Q62" s="237">
        <f t="shared" si="5"/>
        <v>1.06</v>
      </c>
    </row>
    <row r="63" spans="2:17" s="121" customFormat="1" ht="16.5" customHeight="1" x14ac:dyDescent="0.2">
      <c r="B63" s="120"/>
      <c r="C63" s="73" t="s">
        <v>236</v>
      </c>
      <c r="D63" s="73" t="s">
        <v>209</v>
      </c>
      <c r="E63" s="74" t="s">
        <v>359</v>
      </c>
      <c r="F63" s="75" t="s">
        <v>360</v>
      </c>
      <c r="G63" s="76" t="s">
        <v>99</v>
      </c>
      <c r="H63" s="77">
        <v>1</v>
      </c>
      <c r="I63" s="78">
        <v>775.98</v>
      </c>
      <c r="J63" s="77">
        <v>776</v>
      </c>
      <c r="K63" s="68">
        <v>0</v>
      </c>
      <c r="L63" s="69">
        <f t="shared" si="0"/>
        <v>775.98</v>
      </c>
      <c r="M63" s="273">
        <f t="shared" si="1"/>
        <v>0</v>
      </c>
      <c r="N63" s="71">
        <f t="shared" si="2"/>
        <v>1</v>
      </c>
      <c r="O63" s="72">
        <f t="shared" si="3"/>
        <v>775.98</v>
      </c>
      <c r="P63" s="274">
        <f t="shared" si="4"/>
        <v>775.98</v>
      </c>
      <c r="Q63" s="237">
        <f t="shared" si="5"/>
        <v>1.06</v>
      </c>
    </row>
    <row r="64" spans="2:17" s="121" customFormat="1" ht="16.5" customHeight="1" x14ac:dyDescent="0.2">
      <c r="B64" s="120"/>
      <c r="C64" s="73" t="s">
        <v>239</v>
      </c>
      <c r="D64" s="73" t="s">
        <v>209</v>
      </c>
      <c r="E64" s="74" t="s">
        <v>362</v>
      </c>
      <c r="F64" s="75" t="s">
        <v>363</v>
      </c>
      <c r="G64" s="76" t="s">
        <v>99</v>
      </c>
      <c r="H64" s="77">
        <v>3</v>
      </c>
      <c r="I64" s="78">
        <v>211.75</v>
      </c>
      <c r="J64" s="77">
        <v>635.29999999999995</v>
      </c>
      <c r="K64" s="68">
        <v>0</v>
      </c>
      <c r="L64" s="69">
        <f t="shared" si="0"/>
        <v>211.75</v>
      </c>
      <c r="M64" s="273">
        <f t="shared" si="1"/>
        <v>0</v>
      </c>
      <c r="N64" s="71">
        <f t="shared" si="2"/>
        <v>3</v>
      </c>
      <c r="O64" s="72">
        <f t="shared" si="3"/>
        <v>211.75</v>
      </c>
      <c r="P64" s="274">
        <f t="shared" si="4"/>
        <v>635.25</v>
      </c>
      <c r="Q64" s="237">
        <f t="shared" si="5"/>
        <v>3.17</v>
      </c>
    </row>
    <row r="65" spans="2:17" s="121" customFormat="1" ht="16.5" customHeight="1" x14ac:dyDescent="0.2">
      <c r="B65" s="120"/>
      <c r="C65" s="56" t="s">
        <v>242</v>
      </c>
      <c r="D65" s="56" t="s">
        <v>96</v>
      </c>
      <c r="E65" s="57" t="s">
        <v>365</v>
      </c>
      <c r="F65" s="58" t="s">
        <v>366</v>
      </c>
      <c r="G65" s="59" t="s">
        <v>99</v>
      </c>
      <c r="H65" s="60">
        <v>1</v>
      </c>
      <c r="I65" s="61">
        <v>808.86</v>
      </c>
      <c r="J65" s="60">
        <v>808.9</v>
      </c>
      <c r="K65" s="68">
        <v>0</v>
      </c>
      <c r="L65" s="69">
        <f t="shared" si="0"/>
        <v>808.86</v>
      </c>
      <c r="M65" s="273">
        <f t="shared" si="1"/>
        <v>0</v>
      </c>
      <c r="N65" s="71">
        <f t="shared" si="2"/>
        <v>1</v>
      </c>
      <c r="O65" s="72">
        <f t="shared" si="3"/>
        <v>808.86</v>
      </c>
      <c r="P65" s="274">
        <f t="shared" si="4"/>
        <v>808.86</v>
      </c>
      <c r="Q65" s="237">
        <f t="shared" si="5"/>
        <v>1.06</v>
      </c>
    </row>
    <row r="66" spans="2:17" s="121" customFormat="1" ht="16.5" customHeight="1" x14ac:dyDescent="0.2">
      <c r="B66" s="120"/>
      <c r="C66" s="73" t="s">
        <v>245</v>
      </c>
      <c r="D66" s="73" t="s">
        <v>209</v>
      </c>
      <c r="E66" s="74" t="s">
        <v>368</v>
      </c>
      <c r="F66" s="75" t="s">
        <v>369</v>
      </c>
      <c r="G66" s="76" t="s">
        <v>99</v>
      </c>
      <c r="H66" s="77">
        <v>1</v>
      </c>
      <c r="I66" s="78">
        <v>1530.92</v>
      </c>
      <c r="J66" s="77">
        <v>1530.9</v>
      </c>
      <c r="K66" s="68">
        <v>0</v>
      </c>
      <c r="L66" s="69">
        <f t="shared" si="0"/>
        <v>1530.92</v>
      </c>
      <c r="M66" s="273">
        <f t="shared" si="1"/>
        <v>0</v>
      </c>
      <c r="N66" s="71">
        <f t="shared" si="2"/>
        <v>1</v>
      </c>
      <c r="O66" s="72">
        <f t="shared" si="3"/>
        <v>1530.92</v>
      </c>
      <c r="P66" s="274">
        <f t="shared" si="4"/>
        <v>1530.92</v>
      </c>
      <c r="Q66" s="237">
        <f t="shared" si="5"/>
        <v>1.06</v>
      </c>
    </row>
    <row r="67" spans="2:17" s="121" customFormat="1" ht="16.5" customHeight="1" x14ac:dyDescent="0.2">
      <c r="B67" s="120"/>
      <c r="C67" s="56" t="s">
        <v>248</v>
      </c>
      <c r="D67" s="56" t="s">
        <v>96</v>
      </c>
      <c r="E67" s="57" t="s">
        <v>371</v>
      </c>
      <c r="F67" s="58" t="s">
        <v>372</v>
      </c>
      <c r="G67" s="59" t="s">
        <v>99</v>
      </c>
      <c r="H67" s="60">
        <v>1</v>
      </c>
      <c r="I67" s="61">
        <v>3234.12</v>
      </c>
      <c r="J67" s="60">
        <v>3234.1</v>
      </c>
      <c r="K67" s="68">
        <v>0</v>
      </c>
      <c r="L67" s="69">
        <f t="shared" si="0"/>
        <v>3234.12</v>
      </c>
      <c r="M67" s="273">
        <f t="shared" si="1"/>
        <v>0</v>
      </c>
      <c r="N67" s="71">
        <f t="shared" si="2"/>
        <v>1</v>
      </c>
      <c r="O67" s="72">
        <f t="shared" si="3"/>
        <v>3234.12</v>
      </c>
      <c r="P67" s="274">
        <f t="shared" si="4"/>
        <v>3234.12</v>
      </c>
      <c r="Q67" s="237">
        <f t="shared" si="5"/>
        <v>1.06</v>
      </c>
    </row>
    <row r="68" spans="2:17" s="121" customFormat="1" ht="16.5" customHeight="1" x14ac:dyDescent="0.2">
      <c r="B68" s="120"/>
      <c r="C68" s="73" t="s">
        <v>251</v>
      </c>
      <c r="D68" s="73" t="s">
        <v>209</v>
      </c>
      <c r="E68" s="74" t="s">
        <v>374</v>
      </c>
      <c r="F68" s="75" t="s">
        <v>375</v>
      </c>
      <c r="G68" s="76" t="s">
        <v>99</v>
      </c>
      <c r="H68" s="77">
        <v>1</v>
      </c>
      <c r="I68" s="78">
        <v>14588.41</v>
      </c>
      <c r="J68" s="77">
        <v>14588.4</v>
      </c>
      <c r="K68" s="68">
        <v>0</v>
      </c>
      <c r="L68" s="69">
        <f t="shared" si="0"/>
        <v>14588.41</v>
      </c>
      <c r="M68" s="273">
        <f t="shared" si="1"/>
        <v>0</v>
      </c>
      <c r="N68" s="71">
        <f t="shared" si="2"/>
        <v>1</v>
      </c>
      <c r="O68" s="72">
        <f t="shared" si="3"/>
        <v>14588.41</v>
      </c>
      <c r="P68" s="274">
        <f t="shared" si="4"/>
        <v>14588.41</v>
      </c>
      <c r="Q68" s="237">
        <f t="shared" si="5"/>
        <v>1.06</v>
      </c>
    </row>
    <row r="69" spans="2:17" s="121" customFormat="1" ht="16.5" customHeight="1" x14ac:dyDescent="0.2">
      <c r="B69" s="120"/>
      <c r="C69" s="56" t="s">
        <v>254</v>
      </c>
      <c r="D69" s="56" t="s">
        <v>96</v>
      </c>
      <c r="E69" s="57" t="s">
        <v>377</v>
      </c>
      <c r="F69" s="58" t="s">
        <v>378</v>
      </c>
      <c r="G69" s="59" t="s">
        <v>99</v>
      </c>
      <c r="H69" s="60">
        <v>1</v>
      </c>
      <c r="I69" s="61">
        <v>485.32</v>
      </c>
      <c r="J69" s="60">
        <v>485.3</v>
      </c>
      <c r="K69" s="68">
        <v>0</v>
      </c>
      <c r="L69" s="69">
        <f t="shared" si="0"/>
        <v>485.32</v>
      </c>
      <c r="M69" s="273">
        <f t="shared" si="1"/>
        <v>0</v>
      </c>
      <c r="N69" s="71">
        <f t="shared" si="2"/>
        <v>1</v>
      </c>
      <c r="O69" s="72">
        <f t="shared" si="3"/>
        <v>485.32</v>
      </c>
      <c r="P69" s="274">
        <f t="shared" si="4"/>
        <v>485.32</v>
      </c>
      <c r="Q69" s="237">
        <f t="shared" si="5"/>
        <v>1.06</v>
      </c>
    </row>
    <row r="70" spans="2:17" s="121" customFormat="1" ht="16.5" customHeight="1" x14ac:dyDescent="0.2">
      <c r="B70" s="120"/>
      <c r="C70" s="73" t="s">
        <v>258</v>
      </c>
      <c r="D70" s="73" t="s">
        <v>209</v>
      </c>
      <c r="E70" s="74" t="s">
        <v>380</v>
      </c>
      <c r="F70" s="75" t="s">
        <v>381</v>
      </c>
      <c r="G70" s="76" t="s">
        <v>99</v>
      </c>
      <c r="H70" s="77">
        <v>1</v>
      </c>
      <c r="I70" s="78">
        <v>6510.34</v>
      </c>
      <c r="J70" s="77">
        <v>6510.3</v>
      </c>
      <c r="K70" s="68">
        <v>0</v>
      </c>
      <c r="L70" s="69">
        <f t="shared" si="0"/>
        <v>6510.34</v>
      </c>
      <c r="M70" s="273">
        <f t="shared" si="1"/>
        <v>0</v>
      </c>
      <c r="N70" s="71">
        <f t="shared" si="2"/>
        <v>1</v>
      </c>
      <c r="O70" s="72">
        <f t="shared" si="3"/>
        <v>6510.34</v>
      </c>
      <c r="P70" s="274">
        <f t="shared" si="4"/>
        <v>6510.34</v>
      </c>
      <c r="Q70" s="237">
        <f t="shared" si="5"/>
        <v>1.06</v>
      </c>
    </row>
    <row r="71" spans="2:17" s="121" customFormat="1" ht="16.5" customHeight="1" x14ac:dyDescent="0.2">
      <c r="B71" s="120"/>
      <c r="C71" s="56" t="s">
        <v>261</v>
      </c>
      <c r="D71" s="56" t="s">
        <v>96</v>
      </c>
      <c r="E71" s="57" t="s">
        <v>383</v>
      </c>
      <c r="F71" s="58" t="s">
        <v>384</v>
      </c>
      <c r="G71" s="59" t="s">
        <v>133</v>
      </c>
      <c r="H71" s="60">
        <v>22.53</v>
      </c>
      <c r="I71" s="61">
        <v>9.2100000000000009</v>
      </c>
      <c r="J71" s="60">
        <v>207.5</v>
      </c>
      <c r="K71" s="68">
        <v>-0.6</v>
      </c>
      <c r="L71" s="69">
        <f t="shared" si="0"/>
        <v>9.2100000000000009</v>
      </c>
      <c r="M71" s="273">
        <f t="shared" si="1"/>
        <v>-5.5260000000000007</v>
      </c>
      <c r="N71" s="71">
        <f t="shared" si="2"/>
        <v>21.93</v>
      </c>
      <c r="O71" s="72">
        <f t="shared" si="3"/>
        <v>9.2100000000000009</v>
      </c>
      <c r="P71" s="274">
        <f t="shared" si="4"/>
        <v>201.9753</v>
      </c>
      <c r="Q71" s="237">
        <f t="shared" si="5"/>
        <v>23.8</v>
      </c>
    </row>
    <row r="72" spans="2:17" s="170" customFormat="1" ht="22.9" customHeight="1" x14ac:dyDescent="0.2">
      <c r="B72" s="165"/>
      <c r="C72" s="252"/>
      <c r="D72" s="253" t="s">
        <v>4</v>
      </c>
      <c r="E72" s="254" t="s">
        <v>118</v>
      </c>
      <c r="F72" s="254" t="s">
        <v>385</v>
      </c>
      <c r="G72" s="252"/>
      <c r="H72" s="252"/>
      <c r="I72" s="255"/>
      <c r="J72" s="256">
        <f>+SUBTOTAL(9,J73:J76)</f>
        <v>13213</v>
      </c>
      <c r="K72" s="261"/>
      <c r="L72" s="262"/>
      <c r="M72" s="279">
        <f>SUM(M73:M76)</f>
        <v>0</v>
      </c>
      <c r="N72" s="280"/>
      <c r="O72" s="262"/>
      <c r="P72" s="279">
        <f>SUM(P73:P76)</f>
        <v>13212.885</v>
      </c>
      <c r="Q72" s="237">
        <f t="shared" si="5"/>
        <v>0</v>
      </c>
    </row>
    <row r="73" spans="2:17" s="121" customFormat="1" ht="16.5" customHeight="1" x14ac:dyDescent="0.2">
      <c r="B73" s="120"/>
      <c r="C73" s="56" t="s">
        <v>264</v>
      </c>
      <c r="D73" s="56" t="s">
        <v>96</v>
      </c>
      <c r="E73" s="57" t="s">
        <v>387</v>
      </c>
      <c r="F73" s="58" t="s">
        <v>388</v>
      </c>
      <c r="G73" s="59" t="s">
        <v>133</v>
      </c>
      <c r="H73" s="60">
        <v>47.5</v>
      </c>
      <c r="I73" s="61">
        <v>87.65</v>
      </c>
      <c r="J73" s="60">
        <v>4163.3999999999996</v>
      </c>
      <c r="K73" s="68">
        <v>0</v>
      </c>
      <c r="L73" s="69">
        <f t="shared" si="0"/>
        <v>87.65</v>
      </c>
      <c r="M73" s="273">
        <f t="shared" si="1"/>
        <v>0</v>
      </c>
      <c r="N73" s="71">
        <f t="shared" si="2"/>
        <v>47.5</v>
      </c>
      <c r="O73" s="72">
        <f t="shared" si="3"/>
        <v>87.65</v>
      </c>
      <c r="P73" s="274">
        <f t="shared" si="4"/>
        <v>4163.375</v>
      </c>
      <c r="Q73" s="237">
        <f t="shared" si="5"/>
        <v>50.18</v>
      </c>
    </row>
    <row r="74" spans="2:17" s="121" customFormat="1" ht="16.5" customHeight="1" x14ac:dyDescent="0.2">
      <c r="B74" s="120"/>
      <c r="C74" s="56" t="s">
        <v>267</v>
      </c>
      <c r="D74" s="56" t="s">
        <v>96</v>
      </c>
      <c r="E74" s="57" t="s">
        <v>390</v>
      </c>
      <c r="F74" s="58" t="s">
        <v>391</v>
      </c>
      <c r="G74" s="59" t="s">
        <v>133</v>
      </c>
      <c r="H74" s="60">
        <v>47.5</v>
      </c>
      <c r="I74" s="61">
        <v>72.34</v>
      </c>
      <c r="J74" s="60">
        <v>3436.2</v>
      </c>
      <c r="K74" s="68">
        <v>0</v>
      </c>
      <c r="L74" s="69">
        <f t="shared" si="0"/>
        <v>72.34</v>
      </c>
      <c r="M74" s="273">
        <f t="shared" si="1"/>
        <v>0</v>
      </c>
      <c r="N74" s="71">
        <f t="shared" si="2"/>
        <v>47.5</v>
      </c>
      <c r="O74" s="72">
        <f t="shared" si="3"/>
        <v>72.34</v>
      </c>
      <c r="P74" s="274">
        <f t="shared" si="4"/>
        <v>3436.15</v>
      </c>
      <c r="Q74" s="237">
        <f t="shared" si="5"/>
        <v>50.18</v>
      </c>
    </row>
    <row r="75" spans="2:17" s="121" customFormat="1" ht="16.5" customHeight="1" x14ac:dyDescent="0.2">
      <c r="B75" s="120"/>
      <c r="C75" s="56" t="s">
        <v>270</v>
      </c>
      <c r="D75" s="56" t="s">
        <v>96</v>
      </c>
      <c r="E75" s="57" t="s">
        <v>393</v>
      </c>
      <c r="F75" s="58" t="s">
        <v>394</v>
      </c>
      <c r="G75" s="59" t="s">
        <v>99</v>
      </c>
      <c r="H75" s="60">
        <v>1</v>
      </c>
      <c r="I75" s="61">
        <v>1148.19</v>
      </c>
      <c r="J75" s="60">
        <v>1148.2</v>
      </c>
      <c r="K75" s="68">
        <v>0</v>
      </c>
      <c r="L75" s="69">
        <f t="shared" si="0"/>
        <v>1148.19</v>
      </c>
      <c r="M75" s="273">
        <f t="shared" si="1"/>
        <v>0</v>
      </c>
      <c r="N75" s="71">
        <f t="shared" si="2"/>
        <v>1</v>
      </c>
      <c r="O75" s="72">
        <f t="shared" si="3"/>
        <v>1148.19</v>
      </c>
      <c r="P75" s="274">
        <f t="shared" si="4"/>
        <v>1148.19</v>
      </c>
      <c r="Q75" s="237">
        <f t="shared" si="5"/>
        <v>1.06</v>
      </c>
    </row>
    <row r="76" spans="2:17" s="121" customFormat="1" ht="16.5" customHeight="1" x14ac:dyDescent="0.2">
      <c r="B76" s="120"/>
      <c r="C76" s="56" t="s">
        <v>273</v>
      </c>
      <c r="D76" s="56" t="s">
        <v>96</v>
      </c>
      <c r="E76" s="57" t="s">
        <v>396</v>
      </c>
      <c r="F76" s="58" t="s">
        <v>397</v>
      </c>
      <c r="G76" s="59" t="s">
        <v>99</v>
      </c>
      <c r="H76" s="60">
        <v>1</v>
      </c>
      <c r="I76" s="61">
        <v>4465.17</v>
      </c>
      <c r="J76" s="60">
        <v>4465.2</v>
      </c>
      <c r="K76" s="68">
        <v>0</v>
      </c>
      <c r="L76" s="69">
        <f t="shared" si="0"/>
        <v>4465.17</v>
      </c>
      <c r="M76" s="273">
        <f t="shared" si="1"/>
        <v>0</v>
      </c>
      <c r="N76" s="71">
        <f t="shared" si="2"/>
        <v>1</v>
      </c>
      <c r="O76" s="72">
        <f t="shared" si="3"/>
        <v>4465.17</v>
      </c>
      <c r="P76" s="274">
        <f t="shared" si="4"/>
        <v>4465.17</v>
      </c>
      <c r="Q76" s="237">
        <f t="shared" si="5"/>
        <v>1.06</v>
      </c>
    </row>
    <row r="77" spans="2:17" s="170" customFormat="1" ht="22.9" customHeight="1" x14ac:dyDescent="0.2">
      <c r="B77" s="165"/>
      <c r="C77" s="252"/>
      <c r="D77" s="253" t="s">
        <v>4</v>
      </c>
      <c r="E77" s="254" t="s">
        <v>398</v>
      </c>
      <c r="F77" s="254" t="s">
        <v>399</v>
      </c>
      <c r="G77" s="252"/>
      <c r="H77" s="252"/>
      <c r="I77" s="255"/>
      <c r="J77" s="256">
        <f>+SUBTOTAL(9,J78:J80)</f>
        <v>9663.4</v>
      </c>
      <c r="K77" s="261"/>
      <c r="L77" s="262"/>
      <c r="M77" s="279">
        <f>SUM(M78:M80)</f>
        <v>-167.40469999999999</v>
      </c>
      <c r="N77" s="280"/>
      <c r="O77" s="262"/>
      <c r="P77" s="279">
        <f>SUM(P78:P80)</f>
        <v>9495.959499999999</v>
      </c>
      <c r="Q77" s="237">
        <f t="shared" si="5"/>
        <v>0</v>
      </c>
    </row>
    <row r="78" spans="2:17" s="121" customFormat="1" ht="16.5" customHeight="1" x14ac:dyDescent="0.2">
      <c r="B78" s="120"/>
      <c r="C78" s="56" t="s">
        <v>276</v>
      </c>
      <c r="D78" s="56" t="s">
        <v>96</v>
      </c>
      <c r="E78" s="57" t="s">
        <v>401</v>
      </c>
      <c r="F78" s="58" t="s">
        <v>402</v>
      </c>
      <c r="G78" s="59" t="s">
        <v>201</v>
      </c>
      <c r="H78" s="60">
        <v>24.57</v>
      </c>
      <c r="I78" s="61">
        <v>183.78</v>
      </c>
      <c r="J78" s="60">
        <v>4515.5</v>
      </c>
      <c r="K78" s="68">
        <f t="shared" ref="K78" si="7">ROUND(23.2/23.8*Q78-Q78,2)</f>
        <v>-0.65</v>
      </c>
      <c r="L78" s="69">
        <f t="shared" si="0"/>
        <v>183.78</v>
      </c>
      <c r="M78" s="273">
        <f t="shared" si="1"/>
        <v>-119.45700000000001</v>
      </c>
      <c r="N78" s="71">
        <f t="shared" si="2"/>
        <v>23.92</v>
      </c>
      <c r="O78" s="72">
        <f t="shared" si="3"/>
        <v>183.78</v>
      </c>
      <c r="P78" s="274">
        <f t="shared" si="4"/>
        <v>4396.0176000000001</v>
      </c>
      <c r="Q78" s="237">
        <f t="shared" si="5"/>
        <v>25.95</v>
      </c>
    </row>
    <row r="79" spans="2:17" s="121" customFormat="1" ht="16.5" customHeight="1" x14ac:dyDescent="0.2">
      <c r="B79" s="120"/>
      <c r="C79" s="56" t="s">
        <v>279</v>
      </c>
      <c r="D79" s="56" t="s">
        <v>96</v>
      </c>
      <c r="E79" s="57" t="s">
        <v>407</v>
      </c>
      <c r="F79" s="58" t="s">
        <v>408</v>
      </c>
      <c r="G79" s="59" t="s">
        <v>201</v>
      </c>
      <c r="H79" s="60">
        <v>13.07</v>
      </c>
      <c r="I79" s="61">
        <v>257.77999999999997</v>
      </c>
      <c r="J79" s="60">
        <v>3369.2</v>
      </c>
      <c r="K79" s="68">
        <v>0</v>
      </c>
      <c r="L79" s="69">
        <f t="shared" si="0"/>
        <v>257.77999999999997</v>
      </c>
      <c r="M79" s="273">
        <f t="shared" si="1"/>
        <v>0</v>
      </c>
      <c r="N79" s="71">
        <f t="shared" si="2"/>
        <v>13.07</v>
      </c>
      <c r="O79" s="72">
        <f t="shared" si="3"/>
        <v>257.77999999999997</v>
      </c>
      <c r="P79" s="274">
        <f t="shared" si="4"/>
        <v>3369.1845999999996</v>
      </c>
      <c r="Q79" s="237">
        <f t="shared" si="5"/>
        <v>13.81</v>
      </c>
    </row>
    <row r="80" spans="2:17" s="121" customFormat="1" ht="16.5" customHeight="1" x14ac:dyDescent="0.2">
      <c r="B80" s="120"/>
      <c r="C80" s="56" t="s">
        <v>282</v>
      </c>
      <c r="D80" s="56" t="s">
        <v>96</v>
      </c>
      <c r="E80" s="57" t="s">
        <v>410</v>
      </c>
      <c r="F80" s="58" t="s">
        <v>411</v>
      </c>
      <c r="G80" s="59" t="s">
        <v>201</v>
      </c>
      <c r="H80" s="60">
        <v>11.5</v>
      </c>
      <c r="I80" s="61">
        <v>154.66999999999999</v>
      </c>
      <c r="J80" s="60">
        <v>1778.7</v>
      </c>
      <c r="K80" s="68">
        <f t="shared" ref="K80" si="8">ROUND(23.2/23.8*Q80-Q80,2)</f>
        <v>-0.31</v>
      </c>
      <c r="L80" s="69">
        <f t="shared" ref="L80:L82" si="9">I80</f>
        <v>154.66999999999999</v>
      </c>
      <c r="M80" s="273">
        <f t="shared" ref="M80:M82" si="10">K80*L80</f>
        <v>-47.947699999999998</v>
      </c>
      <c r="N80" s="71">
        <f t="shared" ref="N80:N82" si="11">H80+K80</f>
        <v>11.19</v>
      </c>
      <c r="O80" s="72">
        <f t="shared" ref="O80:O82" si="12">I80</f>
        <v>154.66999999999999</v>
      </c>
      <c r="P80" s="274">
        <f t="shared" ref="P80:P82" si="13">N80*O80</f>
        <v>1730.7572999999998</v>
      </c>
      <c r="Q80" s="237">
        <f t="shared" ref="Q80:Q82" si="14">ROUND(23.8/22.53*H80,2)</f>
        <v>12.15</v>
      </c>
    </row>
    <row r="81" spans="2:17" s="170" customFormat="1" ht="22.9" customHeight="1" x14ac:dyDescent="0.2">
      <c r="B81" s="165"/>
      <c r="C81" s="252"/>
      <c r="D81" s="253" t="s">
        <v>4</v>
      </c>
      <c r="E81" s="254" t="s">
        <v>412</v>
      </c>
      <c r="F81" s="254" t="s">
        <v>413</v>
      </c>
      <c r="G81" s="252"/>
      <c r="H81" s="252"/>
      <c r="I81" s="255"/>
      <c r="J81" s="256">
        <f>+SUBTOTAL(9,J82)</f>
        <v>7504.8</v>
      </c>
      <c r="K81" s="261"/>
      <c r="L81" s="262"/>
      <c r="M81" s="279">
        <f>M82</f>
        <v>-200.23500000000001</v>
      </c>
      <c r="N81" s="280"/>
      <c r="O81" s="262"/>
      <c r="P81" s="279">
        <f>P82</f>
        <v>7304.5728000000008</v>
      </c>
      <c r="Q81" s="237">
        <f t="shared" si="14"/>
        <v>0</v>
      </c>
    </row>
    <row r="82" spans="2:17" s="121" customFormat="1" ht="16.5" customHeight="1" x14ac:dyDescent="0.2">
      <c r="B82" s="120"/>
      <c r="C82" s="56" t="s">
        <v>285</v>
      </c>
      <c r="D82" s="56" t="s">
        <v>96</v>
      </c>
      <c r="E82" s="57" t="s">
        <v>415</v>
      </c>
      <c r="F82" s="58" t="s">
        <v>416</v>
      </c>
      <c r="G82" s="59" t="s">
        <v>201</v>
      </c>
      <c r="H82" s="60">
        <v>65.59</v>
      </c>
      <c r="I82" s="61">
        <v>114.42</v>
      </c>
      <c r="J82" s="60">
        <v>7504.8</v>
      </c>
      <c r="K82" s="68">
        <f t="shared" ref="K82" si="15">ROUND(23.2/23.8*Q82-Q82,2)</f>
        <v>-1.75</v>
      </c>
      <c r="L82" s="69">
        <f t="shared" si="9"/>
        <v>114.42</v>
      </c>
      <c r="M82" s="273">
        <f t="shared" si="10"/>
        <v>-200.23500000000001</v>
      </c>
      <c r="N82" s="71">
        <f t="shared" si="11"/>
        <v>63.84</v>
      </c>
      <c r="O82" s="72">
        <f t="shared" si="12"/>
        <v>114.42</v>
      </c>
      <c r="P82" s="274">
        <f t="shared" si="13"/>
        <v>7304.5728000000008</v>
      </c>
      <c r="Q82" s="237">
        <f t="shared" si="14"/>
        <v>69.290000000000006</v>
      </c>
    </row>
    <row r="83" spans="2:17" s="121" customFormat="1" ht="6.95" customHeight="1" x14ac:dyDescent="0.2">
      <c r="B83" s="120"/>
      <c r="C83" s="120"/>
      <c r="D83" s="120"/>
      <c r="E83" s="120"/>
      <c r="F83" s="120"/>
      <c r="G83" s="120"/>
      <c r="H83" s="120"/>
      <c r="I83" s="153"/>
      <c r="J83" s="120"/>
    </row>
    <row r="84" spans="2:17" ht="18" customHeight="1" x14ac:dyDescent="0.2">
      <c r="D84" s="42"/>
      <c r="E84" s="43" t="s">
        <v>884</v>
      </c>
      <c r="F84" s="44"/>
      <c r="G84" s="44"/>
      <c r="H84" s="45"/>
      <c r="I84" s="44"/>
      <c r="J84" s="46">
        <f>ROUND(SUBTOTAL(9,J12:J82),2)</f>
        <v>280755.59999999998</v>
      </c>
      <c r="K84" s="49"/>
      <c r="L84" s="46"/>
      <c r="M84" s="281">
        <f>M81+M77+M48+M42+M39+M36+M14+M72</f>
        <v>-4695.6076000000003</v>
      </c>
      <c r="N84" s="49"/>
      <c r="O84" s="46"/>
      <c r="P84" s="281">
        <f>P81+P77+P48+P42+P39+P36+P14+P72</f>
        <v>276060.0736</v>
      </c>
    </row>
    <row r="85" spans="2:17" ht="12.75" x14ac:dyDescent="0.2">
      <c r="H85" s="50"/>
      <c r="I85" s="8"/>
      <c r="J85" s="9"/>
    </row>
    <row r="86" spans="2:17" ht="14.25" x14ac:dyDescent="0.2">
      <c r="E86" s="6" t="s">
        <v>849</v>
      </c>
      <c r="F86" s="6"/>
      <c r="G86" s="320" t="s">
        <v>1224</v>
      </c>
      <c r="H86" s="50"/>
      <c r="I86" s="8"/>
      <c r="J86" s="6"/>
      <c r="K86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D9:H10" name="Oblast1_2_1"/>
  </protectedRanges>
  <autoFilter ref="C10:P82" xr:uid="{00000000-0009-0000-0000-000009000000}"/>
  <mergeCells count="2">
    <mergeCell ref="K9:M9"/>
    <mergeCell ref="N9:P9"/>
  </mergeCells>
  <pageMargins left="0.39370078740157483" right="0.39370078740157483" top="0.39370078740157483" bottom="0.39370078740157483" header="0" footer="0"/>
  <pageSetup paperSize="9" scale="64" fitToHeight="0" orientation="landscape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AB81"/>
  <sheetViews>
    <sheetView showGridLines="0" view="pageBreakPreview" topLeftCell="A43" zoomScale="60" zoomScaleNormal="90" workbookViewId="0">
      <selection activeCell="K64" sqref="K64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2" width="13.5" style="8" customWidth="1"/>
    <col min="13" max="13" width="19.5" style="8" bestFit="1" customWidth="1"/>
    <col min="14" max="14" width="13.5" style="8" customWidth="1"/>
    <col min="15" max="15" width="20.1640625" style="8" bestFit="1" customWidth="1"/>
    <col min="16" max="16" width="19.1640625" style="8" bestFit="1" customWidth="1"/>
    <col min="17" max="17" width="23.33203125" style="8" bestFit="1" customWidth="1"/>
    <col min="18" max="18" width="14.5" style="8" bestFit="1" customWidth="1"/>
    <col min="19" max="25" width="0" style="8" hidden="1" customWidth="1"/>
    <col min="26" max="26" width="40.33203125" style="8" bestFit="1" customWidth="1"/>
    <col min="27" max="27" width="14.83203125" style="8" bestFit="1" customWidth="1"/>
    <col min="28" max="28" width="26.83203125" style="8" bestFit="1" customWidth="1"/>
    <col min="29" max="16384" width="9.33203125" style="8"/>
  </cols>
  <sheetData>
    <row r="1" spans="2:28" ht="18.95" customHeight="1" x14ac:dyDescent="0.2">
      <c r="F1" s="11"/>
      <c r="G1" s="89"/>
      <c r="H1" s="88"/>
      <c r="I1" s="8"/>
      <c r="J1" s="9"/>
    </row>
    <row r="2" spans="2:28" s="88" customFormat="1" ht="18" customHeight="1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</row>
    <row r="3" spans="2:28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28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28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28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28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28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A9 - Stoka A9</v>
      </c>
      <c r="M8" s="150"/>
      <c r="O8" s="151"/>
    </row>
    <row r="9" spans="2:28" s="15" customFormat="1" ht="20.100000000000001" customHeight="1" x14ac:dyDescent="0.2">
      <c r="B9" s="174"/>
      <c r="C9" s="174"/>
      <c r="D9" s="176"/>
      <c r="E9" s="176"/>
      <c r="F9" s="176"/>
      <c r="G9" s="176"/>
      <c r="H9" s="176"/>
      <c r="I9" s="177"/>
      <c r="J9" s="178"/>
      <c r="K9" s="339" t="s">
        <v>1208</v>
      </c>
      <c r="L9" s="339"/>
      <c r="M9" s="340"/>
      <c r="N9" s="341" t="s">
        <v>1215</v>
      </c>
      <c r="O9" s="341"/>
      <c r="P9" s="342"/>
    </row>
    <row r="10" spans="2:28" s="15" customFormat="1" ht="24" customHeight="1" x14ac:dyDescent="0.2">
      <c r="B10" s="16"/>
      <c r="C10" s="16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189"/>
      <c r="Z10" s="189" t="s">
        <v>1146</v>
      </c>
    </row>
    <row r="11" spans="2:28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28" s="121" customFormat="1" ht="22.9" customHeight="1" x14ac:dyDescent="0.25">
      <c r="B12" s="120"/>
      <c r="C12" s="152" t="s">
        <v>449</v>
      </c>
      <c r="D12" s="120"/>
      <c r="E12" s="120"/>
      <c r="F12" s="120"/>
      <c r="G12" s="120"/>
      <c r="H12" s="120"/>
      <c r="I12" s="153"/>
      <c r="J12" s="154">
        <f>+SUBTOTAL(9,J13:J77)</f>
        <v>789569.20000000007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28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+SUBTOTAL(9,J14:J77)</f>
        <v>789569.20000000007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28" s="170" customFormat="1" ht="22.9" customHeight="1" x14ac:dyDescent="0.2">
      <c r="B14" s="165"/>
      <c r="C14" s="244"/>
      <c r="D14" s="245" t="s">
        <v>4</v>
      </c>
      <c r="E14" s="246" t="s">
        <v>7</v>
      </c>
      <c r="F14" s="246" t="s">
        <v>95</v>
      </c>
      <c r="G14" s="244"/>
      <c r="H14" s="244"/>
      <c r="I14" s="247"/>
      <c r="J14" s="248">
        <f>+SUBTOTAL(9,J15:J35)</f>
        <v>301385.09999999998</v>
      </c>
      <c r="K14" s="249" t="str">
        <f>IF(ISBLANK(H14),"",SUM(#REF!+#REF!+#REF!+#REF!+#REF!+#REF!+#REF!+#REF!+#REF!+#REF!+#REF!+#REF!+#REF!+#REF!+#REF!,#REF!,#REF!,#REF!+#REF!,#REF!,#REF!,#REF!,#REF!,#REF!))</f>
        <v/>
      </c>
      <c r="L14" s="250" t="str">
        <f>IF(ISBLANK(H14),"",SUM(#REF!+#REF!+#REF!+#REF!+#REF!+#REF!+#REF!+#REF!+#REF!+#REF!+#REF!+#REF!+#REF!+#REF!,#REF!,#REF!,#REF!,#REF!,#REF!,#REF!,#REF!,#REF!,#REF!))</f>
        <v/>
      </c>
      <c r="M14" s="272">
        <f>SUM(M15:M35)</f>
        <v>-27313.7611</v>
      </c>
      <c r="N14" s="276" t="str">
        <f>IF(ISBLANK(H14),"",H14-K14)</f>
        <v/>
      </c>
      <c r="O14" s="277" t="str">
        <f>IF(ISBLANK(H14),"",J14-L14)</f>
        <v/>
      </c>
      <c r="P14" s="272">
        <f>SUM(P15:P35)</f>
        <v>274070.97139999998</v>
      </c>
      <c r="Q14" s="218" t="s">
        <v>1216</v>
      </c>
    </row>
    <row r="15" spans="2:28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84.12</v>
      </c>
      <c r="I15" s="61">
        <v>40.770000000000003</v>
      </c>
      <c r="J15" s="60">
        <v>3429.6</v>
      </c>
      <c r="K15" s="68">
        <f>ROUND(69.5/76.5*Q15-Q15,2)</f>
        <v>-8.08</v>
      </c>
      <c r="L15" s="69">
        <f>I15</f>
        <v>40.770000000000003</v>
      </c>
      <c r="M15" s="273">
        <f>K15*L15</f>
        <v>-329.42160000000001</v>
      </c>
      <c r="N15" s="71">
        <f>H15+K15</f>
        <v>76.040000000000006</v>
      </c>
      <c r="O15" s="72">
        <f>I15</f>
        <v>40.770000000000003</v>
      </c>
      <c r="P15" s="274">
        <f>N15*O15</f>
        <v>3100.1508000000003</v>
      </c>
      <c r="Q15" s="237">
        <f>ROUND(76.5/72.85*H15,2)</f>
        <v>88.33</v>
      </c>
      <c r="AB15" s="194"/>
    </row>
    <row r="16" spans="2:28" s="121" customFormat="1" ht="16.5" customHeight="1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160.59</v>
      </c>
      <c r="I16" s="61">
        <v>55.24</v>
      </c>
      <c r="J16" s="60">
        <v>8871</v>
      </c>
      <c r="K16" s="68">
        <v>0</v>
      </c>
      <c r="L16" s="69">
        <f t="shared" ref="L16:L77" si="0">I16</f>
        <v>55.24</v>
      </c>
      <c r="M16" s="273">
        <f t="shared" ref="M16:M77" si="1">K16*L16</f>
        <v>0</v>
      </c>
      <c r="N16" s="71">
        <f t="shared" ref="N16:N77" si="2">H16+K16</f>
        <v>160.59</v>
      </c>
      <c r="O16" s="72">
        <f t="shared" ref="O16:O77" si="3">I16</f>
        <v>55.24</v>
      </c>
      <c r="P16" s="274">
        <f t="shared" ref="P16:P77" si="4">N16*O16</f>
        <v>8870.9916000000012</v>
      </c>
      <c r="Q16" s="237">
        <f t="shared" ref="Q16:Q77" si="5">ROUND(76.5/72.85*H16,2)</f>
        <v>168.64</v>
      </c>
      <c r="AB16" s="194"/>
    </row>
    <row r="17" spans="2:28" s="121" customFormat="1" ht="16.5" customHeight="1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84.12</v>
      </c>
      <c r="I17" s="61">
        <v>98.64</v>
      </c>
      <c r="J17" s="60">
        <v>8297.6</v>
      </c>
      <c r="K17" s="68">
        <v>0</v>
      </c>
      <c r="L17" s="69">
        <f t="shared" si="0"/>
        <v>98.64</v>
      </c>
      <c r="M17" s="273">
        <f t="shared" si="1"/>
        <v>0</v>
      </c>
      <c r="N17" s="71">
        <f t="shared" si="2"/>
        <v>84.12</v>
      </c>
      <c r="O17" s="72">
        <f t="shared" si="3"/>
        <v>98.64</v>
      </c>
      <c r="P17" s="274">
        <f t="shared" si="4"/>
        <v>8297.5968000000012</v>
      </c>
      <c r="Q17" s="237">
        <f t="shared" si="5"/>
        <v>88.33</v>
      </c>
      <c r="AB17" s="194"/>
    </row>
    <row r="18" spans="2:28" s="121" customFormat="1" ht="16.5" customHeight="1" x14ac:dyDescent="0.2">
      <c r="B18" s="120"/>
      <c r="C18" s="56" t="s">
        <v>105</v>
      </c>
      <c r="D18" s="56" t="s">
        <v>96</v>
      </c>
      <c r="E18" s="57" t="s">
        <v>142</v>
      </c>
      <c r="F18" s="58" t="s">
        <v>143</v>
      </c>
      <c r="G18" s="59" t="s">
        <v>133</v>
      </c>
      <c r="H18" s="60">
        <v>5.5</v>
      </c>
      <c r="I18" s="61">
        <v>170.98</v>
      </c>
      <c r="J18" s="60">
        <v>940.4</v>
      </c>
      <c r="K18" s="68">
        <f>ROUND(69.5/76.5*Q18-Q18,2)</f>
        <v>-0.53</v>
      </c>
      <c r="L18" s="69">
        <f t="shared" si="0"/>
        <v>170.98</v>
      </c>
      <c r="M18" s="273">
        <f t="shared" si="1"/>
        <v>-90.619399999999999</v>
      </c>
      <c r="N18" s="71">
        <f t="shared" si="2"/>
        <v>4.97</v>
      </c>
      <c r="O18" s="72">
        <f t="shared" si="3"/>
        <v>170.98</v>
      </c>
      <c r="P18" s="274">
        <f t="shared" si="4"/>
        <v>849.77059999999994</v>
      </c>
      <c r="Q18" s="237">
        <f t="shared" si="5"/>
        <v>5.78</v>
      </c>
      <c r="AB18" s="194"/>
    </row>
    <row r="19" spans="2:28" s="121" customFormat="1" ht="16.5" customHeight="1" x14ac:dyDescent="0.2">
      <c r="B19" s="120"/>
      <c r="C19" s="56" t="s">
        <v>109</v>
      </c>
      <c r="D19" s="56" t="s">
        <v>96</v>
      </c>
      <c r="E19" s="57" t="s">
        <v>145</v>
      </c>
      <c r="F19" s="58" t="s">
        <v>146</v>
      </c>
      <c r="G19" s="59" t="s">
        <v>133</v>
      </c>
      <c r="H19" s="60">
        <v>2.2000000000000002</v>
      </c>
      <c r="I19" s="61">
        <v>147.30000000000001</v>
      </c>
      <c r="J19" s="60">
        <v>324.10000000000002</v>
      </c>
      <c r="K19" s="68">
        <f t="shared" ref="K19:K37" si="6">ROUND(69.5/76.5*Q19-Q19,2)</f>
        <v>-0.21</v>
      </c>
      <c r="L19" s="69">
        <f t="shared" si="0"/>
        <v>147.30000000000001</v>
      </c>
      <c r="M19" s="273">
        <f t="shared" si="1"/>
        <v>-30.933</v>
      </c>
      <c r="N19" s="71">
        <f t="shared" si="2"/>
        <v>1.9900000000000002</v>
      </c>
      <c r="O19" s="72">
        <f t="shared" si="3"/>
        <v>147.30000000000001</v>
      </c>
      <c r="P19" s="274">
        <f t="shared" si="4"/>
        <v>293.12700000000007</v>
      </c>
      <c r="Q19" s="237">
        <f t="shared" si="5"/>
        <v>2.31</v>
      </c>
      <c r="AB19" s="194"/>
    </row>
    <row r="20" spans="2:28" s="121" customFormat="1" ht="16.5" customHeight="1" x14ac:dyDescent="0.2">
      <c r="B20" s="120"/>
      <c r="C20" s="56" t="s">
        <v>112</v>
      </c>
      <c r="D20" s="56" t="s">
        <v>96</v>
      </c>
      <c r="E20" s="57" t="s">
        <v>155</v>
      </c>
      <c r="F20" s="58" t="s">
        <v>156</v>
      </c>
      <c r="G20" s="59" t="s">
        <v>150</v>
      </c>
      <c r="H20" s="60">
        <v>15.74</v>
      </c>
      <c r="I20" s="61">
        <v>257.77999999999997</v>
      </c>
      <c r="J20" s="60">
        <v>4057.5</v>
      </c>
      <c r="K20" s="68">
        <f t="shared" si="6"/>
        <v>-1.51</v>
      </c>
      <c r="L20" s="69">
        <f t="shared" si="0"/>
        <v>257.77999999999997</v>
      </c>
      <c r="M20" s="273">
        <f t="shared" si="1"/>
        <v>-389.24779999999998</v>
      </c>
      <c r="N20" s="71">
        <f t="shared" si="2"/>
        <v>14.23</v>
      </c>
      <c r="O20" s="72">
        <f t="shared" si="3"/>
        <v>257.77999999999997</v>
      </c>
      <c r="P20" s="274">
        <f t="shared" si="4"/>
        <v>3668.2093999999997</v>
      </c>
      <c r="Q20" s="237">
        <f t="shared" si="5"/>
        <v>16.53</v>
      </c>
      <c r="AB20" s="194"/>
    </row>
    <row r="21" spans="2:28" s="121" customFormat="1" ht="16.5" customHeight="1" x14ac:dyDescent="0.2">
      <c r="B21" s="120"/>
      <c r="C21" s="56" t="s">
        <v>115</v>
      </c>
      <c r="D21" s="56" t="s">
        <v>96</v>
      </c>
      <c r="E21" s="57" t="s">
        <v>157</v>
      </c>
      <c r="F21" s="58" t="s">
        <v>158</v>
      </c>
      <c r="G21" s="59" t="s">
        <v>150</v>
      </c>
      <c r="H21" s="60">
        <v>68.48</v>
      </c>
      <c r="I21" s="61">
        <v>257.77999999999997</v>
      </c>
      <c r="J21" s="60">
        <v>17652.8</v>
      </c>
      <c r="K21" s="68">
        <f t="shared" si="6"/>
        <v>-6.58</v>
      </c>
      <c r="L21" s="69">
        <f t="shared" si="0"/>
        <v>257.77999999999997</v>
      </c>
      <c r="M21" s="273">
        <f t="shared" si="1"/>
        <v>-1696.1923999999999</v>
      </c>
      <c r="N21" s="71">
        <f t="shared" si="2"/>
        <v>61.900000000000006</v>
      </c>
      <c r="O21" s="72">
        <f t="shared" si="3"/>
        <v>257.77999999999997</v>
      </c>
      <c r="P21" s="274">
        <f t="shared" si="4"/>
        <v>15956.582</v>
      </c>
      <c r="Q21" s="237">
        <f t="shared" si="5"/>
        <v>71.91</v>
      </c>
      <c r="AB21" s="194"/>
    </row>
    <row r="22" spans="2:28" s="121" customFormat="1" ht="16.5" customHeight="1" x14ac:dyDescent="0.2">
      <c r="B22" s="120"/>
      <c r="C22" s="56" t="s">
        <v>118</v>
      </c>
      <c r="D22" s="56" t="s">
        <v>96</v>
      </c>
      <c r="E22" s="57" t="s">
        <v>160</v>
      </c>
      <c r="F22" s="58" t="s">
        <v>161</v>
      </c>
      <c r="G22" s="59" t="s">
        <v>150</v>
      </c>
      <c r="H22" s="60">
        <v>20.54</v>
      </c>
      <c r="I22" s="61">
        <v>13.15</v>
      </c>
      <c r="J22" s="60">
        <v>270.10000000000002</v>
      </c>
      <c r="K22" s="68">
        <f t="shared" si="6"/>
        <v>-1.97</v>
      </c>
      <c r="L22" s="69">
        <f t="shared" si="0"/>
        <v>13.15</v>
      </c>
      <c r="M22" s="273">
        <f t="shared" si="1"/>
        <v>-25.9055</v>
      </c>
      <c r="N22" s="71">
        <f t="shared" si="2"/>
        <v>18.57</v>
      </c>
      <c r="O22" s="72">
        <f t="shared" si="3"/>
        <v>13.15</v>
      </c>
      <c r="P22" s="274">
        <f t="shared" si="4"/>
        <v>244.19550000000001</v>
      </c>
      <c r="Q22" s="237">
        <f t="shared" si="5"/>
        <v>21.57</v>
      </c>
      <c r="AB22" s="194"/>
    </row>
    <row r="23" spans="2:28" s="121" customFormat="1" ht="16.5" customHeight="1" x14ac:dyDescent="0.2">
      <c r="B23" s="120"/>
      <c r="C23" s="56" t="s">
        <v>121</v>
      </c>
      <c r="D23" s="56" t="s">
        <v>96</v>
      </c>
      <c r="E23" s="57" t="s">
        <v>163</v>
      </c>
      <c r="F23" s="58" t="s">
        <v>164</v>
      </c>
      <c r="G23" s="59" t="s">
        <v>150</v>
      </c>
      <c r="H23" s="60">
        <v>83.84</v>
      </c>
      <c r="I23" s="61">
        <v>315.64999999999998</v>
      </c>
      <c r="J23" s="60">
        <v>26464.1</v>
      </c>
      <c r="K23" s="68">
        <f t="shared" si="6"/>
        <v>-8.06</v>
      </c>
      <c r="L23" s="69">
        <f t="shared" si="0"/>
        <v>315.64999999999998</v>
      </c>
      <c r="M23" s="273">
        <f t="shared" si="1"/>
        <v>-2544.1390000000001</v>
      </c>
      <c r="N23" s="71">
        <f t="shared" si="2"/>
        <v>75.78</v>
      </c>
      <c r="O23" s="72">
        <f t="shared" si="3"/>
        <v>315.64999999999998</v>
      </c>
      <c r="P23" s="274">
        <f t="shared" si="4"/>
        <v>23919.956999999999</v>
      </c>
      <c r="Q23" s="237">
        <f t="shared" si="5"/>
        <v>88.04</v>
      </c>
      <c r="AB23" s="194"/>
    </row>
    <row r="24" spans="2:28" s="121" customFormat="1" ht="16.5" customHeight="1" x14ac:dyDescent="0.2">
      <c r="B24" s="120"/>
      <c r="C24" s="56" t="s">
        <v>124</v>
      </c>
      <c r="D24" s="56" t="s">
        <v>96</v>
      </c>
      <c r="E24" s="57" t="s">
        <v>166</v>
      </c>
      <c r="F24" s="58" t="s">
        <v>167</v>
      </c>
      <c r="G24" s="59" t="s">
        <v>150</v>
      </c>
      <c r="H24" s="60">
        <v>25.15</v>
      </c>
      <c r="I24" s="61">
        <v>15.78</v>
      </c>
      <c r="J24" s="60">
        <v>396.9</v>
      </c>
      <c r="K24" s="68">
        <f t="shared" si="6"/>
        <v>-2.42</v>
      </c>
      <c r="L24" s="69">
        <f t="shared" si="0"/>
        <v>15.78</v>
      </c>
      <c r="M24" s="273">
        <f t="shared" si="1"/>
        <v>-38.187599999999996</v>
      </c>
      <c r="N24" s="71">
        <f t="shared" si="2"/>
        <v>22.729999999999997</v>
      </c>
      <c r="O24" s="72">
        <f t="shared" si="3"/>
        <v>15.78</v>
      </c>
      <c r="P24" s="274">
        <f t="shared" si="4"/>
        <v>358.67939999999993</v>
      </c>
      <c r="Q24" s="237">
        <f t="shared" si="5"/>
        <v>26.41</v>
      </c>
      <c r="AB24" s="194"/>
    </row>
    <row r="25" spans="2:28" s="121" customFormat="1" ht="21.75" customHeight="1" x14ac:dyDescent="0.2">
      <c r="B25" s="120"/>
      <c r="C25" s="56" t="s">
        <v>127</v>
      </c>
      <c r="D25" s="56" t="s">
        <v>96</v>
      </c>
      <c r="E25" s="57" t="s">
        <v>172</v>
      </c>
      <c r="F25" s="58" t="s">
        <v>173</v>
      </c>
      <c r="G25" s="59" t="s">
        <v>150</v>
      </c>
      <c r="H25" s="60">
        <v>28.37</v>
      </c>
      <c r="I25" s="61">
        <v>1116.6199999999999</v>
      </c>
      <c r="J25" s="60">
        <v>31678.5</v>
      </c>
      <c r="K25" s="68">
        <f t="shared" si="6"/>
        <v>-2.73</v>
      </c>
      <c r="L25" s="69">
        <f t="shared" si="0"/>
        <v>1116.6199999999999</v>
      </c>
      <c r="M25" s="273">
        <f t="shared" si="1"/>
        <v>-3048.3725999999997</v>
      </c>
      <c r="N25" s="71">
        <f t="shared" si="2"/>
        <v>25.64</v>
      </c>
      <c r="O25" s="72">
        <f t="shared" si="3"/>
        <v>1116.6199999999999</v>
      </c>
      <c r="P25" s="274">
        <f t="shared" si="4"/>
        <v>28630.136799999997</v>
      </c>
      <c r="Q25" s="237">
        <f t="shared" si="5"/>
        <v>29.79</v>
      </c>
      <c r="AB25" s="194"/>
    </row>
    <row r="26" spans="2:28" s="121" customFormat="1" ht="16.5" customHeight="1" x14ac:dyDescent="0.2">
      <c r="B26" s="120"/>
      <c r="C26" s="56" t="s">
        <v>130</v>
      </c>
      <c r="D26" s="56" t="s">
        <v>96</v>
      </c>
      <c r="E26" s="57" t="s">
        <v>175</v>
      </c>
      <c r="F26" s="58" t="s">
        <v>176</v>
      </c>
      <c r="G26" s="59" t="s">
        <v>108</v>
      </c>
      <c r="H26" s="60">
        <v>355.75</v>
      </c>
      <c r="I26" s="61">
        <v>99.96</v>
      </c>
      <c r="J26" s="60">
        <v>35560.800000000003</v>
      </c>
      <c r="K26" s="68">
        <f>ROUND(69.5/76.5*Q26-Q26,2)</f>
        <v>-34.18</v>
      </c>
      <c r="L26" s="69">
        <f t="shared" si="0"/>
        <v>99.96</v>
      </c>
      <c r="M26" s="273">
        <f t="shared" si="1"/>
        <v>-3416.6327999999999</v>
      </c>
      <c r="N26" s="71">
        <f t="shared" si="2"/>
        <v>321.57</v>
      </c>
      <c r="O26" s="72">
        <f t="shared" si="3"/>
        <v>99.96</v>
      </c>
      <c r="P26" s="274">
        <f t="shared" si="4"/>
        <v>32144.137199999997</v>
      </c>
      <c r="Q26" s="237">
        <f t="shared" si="5"/>
        <v>373.57</v>
      </c>
      <c r="AB26" s="194"/>
    </row>
    <row r="27" spans="2:28" s="121" customFormat="1" ht="16.5" customHeight="1" x14ac:dyDescent="0.2">
      <c r="B27" s="120"/>
      <c r="C27" s="56" t="s">
        <v>134</v>
      </c>
      <c r="D27" s="56" t="s">
        <v>96</v>
      </c>
      <c r="E27" s="57" t="s">
        <v>181</v>
      </c>
      <c r="F27" s="58" t="s">
        <v>182</v>
      </c>
      <c r="G27" s="59" t="s">
        <v>108</v>
      </c>
      <c r="H27" s="60">
        <v>355.75</v>
      </c>
      <c r="I27" s="61">
        <v>149.94</v>
      </c>
      <c r="J27" s="60">
        <v>53341.2</v>
      </c>
      <c r="K27" s="68">
        <f t="shared" si="6"/>
        <v>-34.18</v>
      </c>
      <c r="L27" s="69">
        <f t="shared" si="0"/>
        <v>149.94</v>
      </c>
      <c r="M27" s="273">
        <f t="shared" si="1"/>
        <v>-5124.9492</v>
      </c>
      <c r="N27" s="71">
        <f t="shared" si="2"/>
        <v>321.57</v>
      </c>
      <c r="O27" s="72">
        <f t="shared" si="3"/>
        <v>149.94</v>
      </c>
      <c r="P27" s="274">
        <f t="shared" si="4"/>
        <v>48216.205799999996</v>
      </c>
      <c r="Q27" s="237">
        <f t="shared" si="5"/>
        <v>373.57</v>
      </c>
      <c r="AB27" s="194"/>
    </row>
    <row r="28" spans="2:28" s="121" customFormat="1" ht="16.5" customHeight="1" x14ac:dyDescent="0.2">
      <c r="B28" s="120"/>
      <c r="C28" s="56" t="s">
        <v>2</v>
      </c>
      <c r="D28" s="56" t="s">
        <v>96</v>
      </c>
      <c r="E28" s="57" t="s">
        <v>187</v>
      </c>
      <c r="F28" s="58" t="s">
        <v>188</v>
      </c>
      <c r="G28" s="59" t="s">
        <v>150</v>
      </c>
      <c r="H28" s="60">
        <v>293.93</v>
      </c>
      <c r="I28" s="61">
        <v>97.46</v>
      </c>
      <c r="J28" s="60">
        <v>28646.400000000001</v>
      </c>
      <c r="K28" s="68">
        <f t="shared" si="6"/>
        <v>-28.24</v>
      </c>
      <c r="L28" s="69">
        <f t="shared" si="0"/>
        <v>97.46</v>
      </c>
      <c r="M28" s="273">
        <f t="shared" si="1"/>
        <v>-2752.2703999999999</v>
      </c>
      <c r="N28" s="71">
        <f t="shared" si="2"/>
        <v>265.69</v>
      </c>
      <c r="O28" s="72">
        <f t="shared" si="3"/>
        <v>97.46</v>
      </c>
      <c r="P28" s="274">
        <f t="shared" si="4"/>
        <v>25894.147399999998</v>
      </c>
      <c r="Q28" s="237">
        <f t="shared" si="5"/>
        <v>308.66000000000003</v>
      </c>
      <c r="AB28" s="194"/>
    </row>
    <row r="29" spans="2:28" s="121" customFormat="1" ht="16.5" customHeight="1" x14ac:dyDescent="0.2">
      <c r="B29" s="120"/>
      <c r="C29" s="56" t="s">
        <v>141</v>
      </c>
      <c r="D29" s="56" t="s">
        <v>96</v>
      </c>
      <c r="E29" s="57" t="s">
        <v>190</v>
      </c>
      <c r="F29" s="58" t="s">
        <v>191</v>
      </c>
      <c r="G29" s="59" t="s">
        <v>150</v>
      </c>
      <c r="H29" s="60">
        <v>67.45</v>
      </c>
      <c r="I29" s="61">
        <v>247.39</v>
      </c>
      <c r="J29" s="60">
        <v>16686.5</v>
      </c>
      <c r="K29" s="68">
        <f t="shared" si="6"/>
        <v>-6.48</v>
      </c>
      <c r="L29" s="69">
        <f t="shared" si="0"/>
        <v>247.39</v>
      </c>
      <c r="M29" s="273">
        <f t="shared" si="1"/>
        <v>-1603.0871999999999</v>
      </c>
      <c r="N29" s="71">
        <f t="shared" si="2"/>
        <v>60.97</v>
      </c>
      <c r="O29" s="72">
        <f t="shared" si="3"/>
        <v>247.39</v>
      </c>
      <c r="P29" s="274">
        <f t="shared" si="4"/>
        <v>15083.368299999998</v>
      </c>
      <c r="Q29" s="237">
        <f t="shared" si="5"/>
        <v>70.83</v>
      </c>
      <c r="AB29" s="194"/>
    </row>
    <row r="30" spans="2:28" s="121" customFormat="1" ht="16.5" customHeight="1" x14ac:dyDescent="0.2">
      <c r="B30" s="120"/>
      <c r="C30" s="56" t="s">
        <v>144</v>
      </c>
      <c r="D30" s="56" t="s">
        <v>96</v>
      </c>
      <c r="E30" s="57" t="s">
        <v>193</v>
      </c>
      <c r="F30" s="58" t="s">
        <v>194</v>
      </c>
      <c r="G30" s="59" t="s">
        <v>150</v>
      </c>
      <c r="H30" s="60">
        <v>67.45</v>
      </c>
      <c r="I30" s="61">
        <v>44.72</v>
      </c>
      <c r="J30" s="60">
        <v>3016.4</v>
      </c>
      <c r="K30" s="68">
        <f t="shared" si="6"/>
        <v>-6.48</v>
      </c>
      <c r="L30" s="69">
        <f t="shared" si="0"/>
        <v>44.72</v>
      </c>
      <c r="M30" s="273">
        <f t="shared" si="1"/>
        <v>-289.78559999999999</v>
      </c>
      <c r="N30" s="71">
        <f t="shared" si="2"/>
        <v>60.97</v>
      </c>
      <c r="O30" s="72">
        <f t="shared" si="3"/>
        <v>44.72</v>
      </c>
      <c r="P30" s="274">
        <f t="shared" si="4"/>
        <v>2726.5783999999999</v>
      </c>
      <c r="Q30" s="237">
        <f t="shared" si="5"/>
        <v>70.83</v>
      </c>
      <c r="AB30" s="194"/>
    </row>
    <row r="31" spans="2:28" s="121" customFormat="1" ht="16.5" customHeight="1" x14ac:dyDescent="0.2">
      <c r="B31" s="120"/>
      <c r="C31" s="56" t="s">
        <v>147</v>
      </c>
      <c r="D31" s="56" t="s">
        <v>96</v>
      </c>
      <c r="E31" s="57" t="s">
        <v>196</v>
      </c>
      <c r="F31" s="58" t="s">
        <v>197</v>
      </c>
      <c r="G31" s="59" t="s">
        <v>150</v>
      </c>
      <c r="H31" s="60">
        <v>67.45</v>
      </c>
      <c r="I31" s="61">
        <v>11.84</v>
      </c>
      <c r="J31" s="60">
        <v>798.6</v>
      </c>
      <c r="K31" s="68">
        <f t="shared" si="6"/>
        <v>-6.48</v>
      </c>
      <c r="L31" s="69">
        <f t="shared" si="0"/>
        <v>11.84</v>
      </c>
      <c r="M31" s="273">
        <f t="shared" si="1"/>
        <v>-76.723200000000006</v>
      </c>
      <c r="N31" s="71">
        <f t="shared" si="2"/>
        <v>60.97</v>
      </c>
      <c r="O31" s="72">
        <f t="shared" si="3"/>
        <v>11.84</v>
      </c>
      <c r="P31" s="274">
        <f t="shared" si="4"/>
        <v>721.88479999999993</v>
      </c>
      <c r="Q31" s="237">
        <f t="shared" si="5"/>
        <v>70.83</v>
      </c>
      <c r="AB31" s="194"/>
    </row>
    <row r="32" spans="2:28" s="121" customFormat="1" ht="16.5" customHeight="1" x14ac:dyDescent="0.2">
      <c r="B32" s="120"/>
      <c r="C32" s="56" t="s">
        <v>151</v>
      </c>
      <c r="D32" s="56" t="s">
        <v>96</v>
      </c>
      <c r="E32" s="57" t="s">
        <v>199</v>
      </c>
      <c r="F32" s="58" t="s">
        <v>200</v>
      </c>
      <c r="G32" s="59" t="s">
        <v>201</v>
      </c>
      <c r="H32" s="60">
        <v>134.9</v>
      </c>
      <c r="I32" s="61">
        <v>116</v>
      </c>
      <c r="J32" s="60">
        <v>15648.4</v>
      </c>
      <c r="K32" s="68">
        <f t="shared" si="6"/>
        <v>-12.96</v>
      </c>
      <c r="L32" s="69">
        <f t="shared" si="0"/>
        <v>116</v>
      </c>
      <c r="M32" s="273">
        <f t="shared" si="1"/>
        <v>-1503.3600000000001</v>
      </c>
      <c r="N32" s="71">
        <f t="shared" si="2"/>
        <v>121.94</v>
      </c>
      <c r="O32" s="72">
        <f t="shared" si="3"/>
        <v>116</v>
      </c>
      <c r="P32" s="274">
        <f t="shared" si="4"/>
        <v>14145.039999999999</v>
      </c>
      <c r="Q32" s="237">
        <f t="shared" si="5"/>
        <v>141.66</v>
      </c>
      <c r="AB32" s="194"/>
    </row>
    <row r="33" spans="2:28" s="121" customFormat="1" ht="16.5" customHeight="1" x14ac:dyDescent="0.2">
      <c r="B33" s="120"/>
      <c r="C33" s="56" t="s">
        <v>154</v>
      </c>
      <c r="D33" s="56" t="s">
        <v>96</v>
      </c>
      <c r="E33" s="57" t="s">
        <v>203</v>
      </c>
      <c r="F33" s="58" t="s">
        <v>204</v>
      </c>
      <c r="G33" s="59" t="s">
        <v>150</v>
      </c>
      <c r="H33" s="60">
        <v>113.24</v>
      </c>
      <c r="I33" s="61">
        <v>143.36000000000001</v>
      </c>
      <c r="J33" s="60">
        <v>16234.1</v>
      </c>
      <c r="K33" s="68">
        <f t="shared" si="6"/>
        <v>-10.88</v>
      </c>
      <c r="L33" s="69">
        <f t="shared" si="0"/>
        <v>143.36000000000001</v>
      </c>
      <c r="M33" s="273">
        <f t="shared" si="1"/>
        <v>-1559.7568000000003</v>
      </c>
      <c r="N33" s="71">
        <f t="shared" si="2"/>
        <v>102.36</v>
      </c>
      <c r="O33" s="72">
        <f t="shared" si="3"/>
        <v>143.36000000000001</v>
      </c>
      <c r="P33" s="274">
        <f t="shared" si="4"/>
        <v>14674.329600000001</v>
      </c>
      <c r="Q33" s="237">
        <f t="shared" si="5"/>
        <v>118.91</v>
      </c>
      <c r="AB33" s="194"/>
    </row>
    <row r="34" spans="2:28" s="121" customFormat="1" ht="16.5" customHeight="1" x14ac:dyDescent="0.2">
      <c r="B34" s="120"/>
      <c r="C34" s="56" t="s">
        <v>1</v>
      </c>
      <c r="D34" s="56" t="s">
        <v>96</v>
      </c>
      <c r="E34" s="57" t="s">
        <v>206</v>
      </c>
      <c r="F34" s="58" t="s">
        <v>207</v>
      </c>
      <c r="G34" s="59" t="s">
        <v>150</v>
      </c>
      <c r="H34" s="60">
        <v>43.8</v>
      </c>
      <c r="I34" s="61">
        <v>318.27999999999997</v>
      </c>
      <c r="J34" s="60">
        <v>13940.7</v>
      </c>
      <c r="K34" s="68">
        <f t="shared" si="6"/>
        <v>-4.21</v>
      </c>
      <c r="L34" s="69">
        <f t="shared" si="0"/>
        <v>318.27999999999997</v>
      </c>
      <c r="M34" s="273">
        <f t="shared" si="1"/>
        <v>-1339.9587999999999</v>
      </c>
      <c r="N34" s="71">
        <f t="shared" si="2"/>
        <v>39.589999999999996</v>
      </c>
      <c r="O34" s="72">
        <f t="shared" si="3"/>
        <v>318.27999999999997</v>
      </c>
      <c r="P34" s="274">
        <f t="shared" si="4"/>
        <v>12600.705199999999</v>
      </c>
      <c r="Q34" s="237">
        <f t="shared" si="5"/>
        <v>45.99</v>
      </c>
      <c r="AB34" s="194"/>
    </row>
    <row r="35" spans="2:28" s="121" customFormat="1" ht="16.5" customHeight="1" x14ac:dyDescent="0.2">
      <c r="B35" s="120"/>
      <c r="C35" s="73" t="s">
        <v>159</v>
      </c>
      <c r="D35" s="73" t="s">
        <v>209</v>
      </c>
      <c r="E35" s="74" t="s">
        <v>210</v>
      </c>
      <c r="F35" s="75" t="s">
        <v>211</v>
      </c>
      <c r="G35" s="76" t="s">
        <v>201</v>
      </c>
      <c r="H35" s="77">
        <v>87.6</v>
      </c>
      <c r="I35" s="78">
        <v>172.71</v>
      </c>
      <c r="J35" s="77">
        <v>15129.4</v>
      </c>
      <c r="K35" s="68">
        <f t="shared" si="6"/>
        <v>-8.42</v>
      </c>
      <c r="L35" s="69">
        <f t="shared" si="0"/>
        <v>172.71</v>
      </c>
      <c r="M35" s="273">
        <f t="shared" si="1"/>
        <v>-1454.2182</v>
      </c>
      <c r="N35" s="71">
        <f t="shared" si="2"/>
        <v>79.179999999999993</v>
      </c>
      <c r="O35" s="72">
        <f t="shared" si="3"/>
        <v>172.71</v>
      </c>
      <c r="P35" s="274">
        <f t="shared" si="4"/>
        <v>13675.177799999999</v>
      </c>
      <c r="Q35" s="237">
        <f t="shared" si="5"/>
        <v>91.99</v>
      </c>
      <c r="AB35" s="194"/>
    </row>
    <row r="36" spans="2:28" s="170" customFormat="1" ht="22.9" customHeight="1" x14ac:dyDescent="0.2">
      <c r="B36" s="165"/>
      <c r="C36" s="252"/>
      <c r="D36" s="253" t="s">
        <v>4</v>
      </c>
      <c r="E36" s="254" t="s">
        <v>13</v>
      </c>
      <c r="F36" s="254" t="s">
        <v>222</v>
      </c>
      <c r="G36" s="252"/>
      <c r="H36" s="252"/>
      <c r="I36" s="255"/>
      <c r="J36" s="256">
        <f>+SUBTOTAL(9,J37:J38)</f>
        <v>2874.7000000000003</v>
      </c>
      <c r="K36" s="261"/>
      <c r="L36" s="262"/>
      <c r="M36" s="279">
        <f>SUM(M37:M38)</f>
        <v>-276.22000000000003</v>
      </c>
      <c r="N36" s="280"/>
      <c r="O36" s="262"/>
      <c r="P36" s="279">
        <f>SUM(P37:P38)</f>
        <v>2598.4410000000003</v>
      </c>
      <c r="Q36" s="237">
        <f t="shared" si="5"/>
        <v>0</v>
      </c>
      <c r="AA36" s="121"/>
      <c r="AB36" s="194"/>
    </row>
    <row r="37" spans="2:28" s="121" customFormat="1" ht="16.5" customHeight="1" x14ac:dyDescent="0.2">
      <c r="B37" s="120"/>
      <c r="C37" s="56" t="s">
        <v>162</v>
      </c>
      <c r="D37" s="56" t="s">
        <v>96</v>
      </c>
      <c r="E37" s="57" t="s">
        <v>224</v>
      </c>
      <c r="F37" s="58" t="s">
        <v>225</v>
      </c>
      <c r="G37" s="59" t="s">
        <v>133</v>
      </c>
      <c r="H37" s="60">
        <v>72.849999999999994</v>
      </c>
      <c r="I37" s="61">
        <v>32.880000000000003</v>
      </c>
      <c r="J37" s="60">
        <v>2395.3000000000002</v>
      </c>
      <c r="K37" s="68">
        <f t="shared" si="6"/>
        <v>-7</v>
      </c>
      <c r="L37" s="69">
        <f t="shared" si="0"/>
        <v>32.880000000000003</v>
      </c>
      <c r="M37" s="273">
        <f t="shared" si="1"/>
        <v>-230.16000000000003</v>
      </c>
      <c r="N37" s="71">
        <f t="shared" si="2"/>
        <v>65.849999999999994</v>
      </c>
      <c r="O37" s="72">
        <f t="shared" si="3"/>
        <v>32.880000000000003</v>
      </c>
      <c r="P37" s="274">
        <f t="shared" si="4"/>
        <v>2165.1480000000001</v>
      </c>
      <c r="Q37" s="237">
        <f t="shared" si="5"/>
        <v>76.5</v>
      </c>
      <c r="AB37" s="194"/>
    </row>
    <row r="38" spans="2:28" s="121" customFormat="1" ht="16.5" customHeight="1" x14ac:dyDescent="0.2">
      <c r="B38" s="120"/>
      <c r="C38" s="56" t="s">
        <v>165</v>
      </c>
      <c r="D38" s="56" t="s">
        <v>96</v>
      </c>
      <c r="E38" s="57" t="s">
        <v>227</v>
      </c>
      <c r="F38" s="58" t="s">
        <v>228</v>
      </c>
      <c r="G38" s="59" t="s">
        <v>133</v>
      </c>
      <c r="H38" s="60">
        <v>72.849999999999994</v>
      </c>
      <c r="I38" s="61">
        <v>6.58</v>
      </c>
      <c r="J38" s="60">
        <v>479.4</v>
      </c>
      <c r="K38" s="68">
        <v>-7</v>
      </c>
      <c r="L38" s="69">
        <f t="shared" si="0"/>
        <v>6.58</v>
      </c>
      <c r="M38" s="273">
        <f t="shared" si="1"/>
        <v>-46.06</v>
      </c>
      <c r="N38" s="71">
        <f t="shared" si="2"/>
        <v>65.849999999999994</v>
      </c>
      <c r="O38" s="72">
        <f t="shared" si="3"/>
        <v>6.58</v>
      </c>
      <c r="P38" s="274">
        <f t="shared" si="4"/>
        <v>433.29299999999995</v>
      </c>
      <c r="Q38" s="237">
        <f t="shared" si="5"/>
        <v>76.5</v>
      </c>
      <c r="AB38" s="194"/>
    </row>
    <row r="39" spans="2:28" s="170" customFormat="1" ht="22.9" customHeight="1" x14ac:dyDescent="0.2">
      <c r="B39" s="165"/>
      <c r="C39" s="252"/>
      <c r="D39" s="253" t="s">
        <v>4</v>
      </c>
      <c r="E39" s="254" t="s">
        <v>100</v>
      </c>
      <c r="F39" s="254" t="s">
        <v>229</v>
      </c>
      <c r="G39" s="252"/>
      <c r="H39" s="252"/>
      <c r="I39" s="255"/>
      <c r="J39" s="256">
        <f>+SUBTOTAL(9,J40:J41)</f>
        <v>35752.400000000001</v>
      </c>
      <c r="K39" s="261"/>
      <c r="L39" s="262"/>
      <c r="M39" s="279">
        <f>SUM(M40:M41)</f>
        <v>-3461.8188</v>
      </c>
      <c r="N39" s="280"/>
      <c r="O39" s="262"/>
      <c r="P39" s="279">
        <f>SUM(P40:P41)</f>
        <v>32290.585499999997</v>
      </c>
      <c r="Q39" s="237">
        <f t="shared" si="5"/>
        <v>0</v>
      </c>
      <c r="AA39" s="121"/>
      <c r="AB39" s="194"/>
    </row>
    <row r="40" spans="2:28" s="121" customFormat="1" ht="16.5" customHeight="1" x14ac:dyDescent="0.2">
      <c r="B40" s="120"/>
      <c r="C40" s="56" t="s">
        <v>168</v>
      </c>
      <c r="D40" s="56" t="s">
        <v>96</v>
      </c>
      <c r="E40" s="57" t="s">
        <v>252</v>
      </c>
      <c r="F40" s="58" t="s">
        <v>253</v>
      </c>
      <c r="G40" s="59" t="s">
        <v>150</v>
      </c>
      <c r="H40" s="60">
        <v>10.26</v>
      </c>
      <c r="I40" s="61">
        <v>3239.16</v>
      </c>
      <c r="J40" s="60">
        <v>33233.800000000003</v>
      </c>
      <c r="K40" s="68">
        <f t="shared" ref="K40:K41" si="7">ROUND(69.5/76.5*Q40-Q40,2)</f>
        <v>-0.99</v>
      </c>
      <c r="L40" s="69">
        <f t="shared" si="0"/>
        <v>3239.16</v>
      </c>
      <c r="M40" s="273">
        <f t="shared" si="1"/>
        <v>-3206.7683999999999</v>
      </c>
      <c r="N40" s="71">
        <f t="shared" si="2"/>
        <v>9.27</v>
      </c>
      <c r="O40" s="72">
        <f t="shared" si="3"/>
        <v>3239.16</v>
      </c>
      <c r="P40" s="274">
        <f t="shared" si="4"/>
        <v>30027.013199999998</v>
      </c>
      <c r="Q40" s="237">
        <f t="shared" si="5"/>
        <v>10.77</v>
      </c>
      <c r="AB40" s="194"/>
    </row>
    <row r="41" spans="2:28" s="121" customFormat="1" ht="16.5" customHeight="1" x14ac:dyDescent="0.2">
      <c r="B41" s="120"/>
      <c r="C41" s="56" t="s">
        <v>171</v>
      </c>
      <c r="D41" s="56" t="s">
        <v>96</v>
      </c>
      <c r="E41" s="57" t="s">
        <v>255</v>
      </c>
      <c r="F41" s="58" t="s">
        <v>256</v>
      </c>
      <c r="G41" s="59" t="s">
        <v>150</v>
      </c>
      <c r="H41" s="60">
        <v>0.79</v>
      </c>
      <c r="I41" s="61">
        <v>3188.13</v>
      </c>
      <c r="J41" s="60">
        <v>2518.6</v>
      </c>
      <c r="K41" s="68">
        <f t="shared" si="7"/>
        <v>-0.08</v>
      </c>
      <c r="L41" s="69">
        <f t="shared" si="0"/>
        <v>3188.13</v>
      </c>
      <c r="M41" s="273">
        <f t="shared" si="1"/>
        <v>-255.05040000000002</v>
      </c>
      <c r="N41" s="71">
        <f t="shared" si="2"/>
        <v>0.71000000000000008</v>
      </c>
      <c r="O41" s="72">
        <f t="shared" si="3"/>
        <v>3188.13</v>
      </c>
      <c r="P41" s="274">
        <f t="shared" si="4"/>
        <v>2263.5723000000003</v>
      </c>
      <c r="Q41" s="237">
        <f t="shared" si="5"/>
        <v>0.83</v>
      </c>
      <c r="AB41" s="194"/>
    </row>
    <row r="42" spans="2:28" s="170" customFormat="1" ht="22.9" customHeight="1" x14ac:dyDescent="0.2">
      <c r="B42" s="165"/>
      <c r="C42" s="252"/>
      <c r="D42" s="253" t="s">
        <v>4</v>
      </c>
      <c r="E42" s="254" t="s">
        <v>105</v>
      </c>
      <c r="F42" s="254" t="s">
        <v>257</v>
      </c>
      <c r="G42" s="252"/>
      <c r="H42" s="252"/>
      <c r="I42" s="255"/>
      <c r="J42" s="256">
        <f>+SUBTOTAL(9,J43:J47)</f>
        <v>140727.6</v>
      </c>
      <c r="K42" s="261"/>
      <c r="L42" s="262"/>
      <c r="M42" s="279">
        <f>SUM(M43:M47)</f>
        <v>0</v>
      </c>
      <c r="N42" s="280"/>
      <c r="O42" s="262"/>
      <c r="P42" s="279">
        <f>SUM(P43:P47)</f>
        <v>140727.49230000001</v>
      </c>
      <c r="Q42" s="237">
        <f t="shared" si="5"/>
        <v>0</v>
      </c>
      <c r="AA42" s="121"/>
      <c r="AB42" s="194"/>
    </row>
    <row r="43" spans="2:28" s="121" customFormat="1" ht="23.25" customHeight="1" x14ac:dyDescent="0.2">
      <c r="B43" s="120"/>
      <c r="C43" s="56" t="s">
        <v>174</v>
      </c>
      <c r="D43" s="56" t="s">
        <v>96</v>
      </c>
      <c r="E43" s="57" t="s">
        <v>262</v>
      </c>
      <c r="F43" s="58" t="s">
        <v>263</v>
      </c>
      <c r="G43" s="59" t="s">
        <v>108</v>
      </c>
      <c r="H43" s="60">
        <v>84.12</v>
      </c>
      <c r="I43" s="61">
        <v>302.54000000000002</v>
      </c>
      <c r="J43" s="60">
        <v>25449.7</v>
      </c>
      <c r="K43" s="68">
        <v>0</v>
      </c>
      <c r="L43" s="69">
        <f t="shared" si="0"/>
        <v>302.54000000000002</v>
      </c>
      <c r="M43" s="273">
        <f t="shared" si="1"/>
        <v>0</v>
      </c>
      <c r="N43" s="71">
        <f t="shared" si="2"/>
        <v>84.12</v>
      </c>
      <c r="O43" s="72">
        <f t="shared" si="3"/>
        <v>302.54000000000002</v>
      </c>
      <c r="P43" s="274">
        <f t="shared" si="4"/>
        <v>25449.664800000002</v>
      </c>
      <c r="Q43" s="237">
        <f t="shared" si="5"/>
        <v>88.33</v>
      </c>
      <c r="R43" s="191" t="s">
        <v>1143</v>
      </c>
      <c r="AB43" s="194"/>
    </row>
    <row r="44" spans="2:28" s="121" customFormat="1" ht="16.5" customHeight="1" x14ac:dyDescent="0.2">
      <c r="B44" s="120"/>
      <c r="C44" s="56" t="s">
        <v>177</v>
      </c>
      <c r="D44" s="56" t="s">
        <v>96</v>
      </c>
      <c r="E44" s="57" t="s">
        <v>268</v>
      </c>
      <c r="F44" s="58" t="s">
        <v>269</v>
      </c>
      <c r="G44" s="59" t="s">
        <v>108</v>
      </c>
      <c r="H44" s="60">
        <v>84.12</v>
      </c>
      <c r="I44" s="61">
        <v>14.18</v>
      </c>
      <c r="J44" s="60">
        <v>1192.8</v>
      </c>
      <c r="K44" s="68">
        <v>0</v>
      </c>
      <c r="L44" s="69">
        <f t="shared" si="0"/>
        <v>14.18</v>
      </c>
      <c r="M44" s="273">
        <f t="shared" si="1"/>
        <v>0</v>
      </c>
      <c r="N44" s="71">
        <f t="shared" si="2"/>
        <v>84.12</v>
      </c>
      <c r="O44" s="72">
        <f t="shared" si="3"/>
        <v>14.18</v>
      </c>
      <c r="P44" s="274">
        <f t="shared" si="4"/>
        <v>1192.8216</v>
      </c>
      <c r="Q44" s="237">
        <f t="shared" si="5"/>
        <v>88.33</v>
      </c>
      <c r="AB44" s="194"/>
    </row>
    <row r="45" spans="2:28" s="121" customFormat="1" ht="16.5" customHeight="1" x14ac:dyDescent="0.2">
      <c r="B45" s="120"/>
      <c r="C45" s="56" t="s">
        <v>180</v>
      </c>
      <c r="D45" s="56" t="s">
        <v>96</v>
      </c>
      <c r="E45" s="57" t="s">
        <v>271</v>
      </c>
      <c r="F45" s="58" t="s">
        <v>272</v>
      </c>
      <c r="G45" s="59" t="s">
        <v>108</v>
      </c>
      <c r="H45" s="60">
        <v>160.59</v>
      </c>
      <c r="I45" s="61">
        <v>20.62</v>
      </c>
      <c r="J45" s="60">
        <v>3311.4</v>
      </c>
      <c r="K45" s="68">
        <v>0</v>
      </c>
      <c r="L45" s="69">
        <f t="shared" si="0"/>
        <v>20.62</v>
      </c>
      <c r="M45" s="273">
        <f t="shared" si="1"/>
        <v>0</v>
      </c>
      <c r="N45" s="71">
        <f t="shared" si="2"/>
        <v>160.59</v>
      </c>
      <c r="O45" s="72">
        <f t="shared" si="3"/>
        <v>20.62</v>
      </c>
      <c r="P45" s="274">
        <f t="shared" si="4"/>
        <v>3311.3658</v>
      </c>
      <c r="Q45" s="237">
        <f t="shared" si="5"/>
        <v>168.64</v>
      </c>
      <c r="AB45" s="194"/>
    </row>
    <row r="46" spans="2:28" s="121" customFormat="1" ht="16.5" customHeight="1" x14ac:dyDescent="0.2">
      <c r="B46" s="120"/>
      <c r="C46" s="56" t="s">
        <v>183</v>
      </c>
      <c r="D46" s="56" t="s">
        <v>96</v>
      </c>
      <c r="E46" s="57" t="s">
        <v>274</v>
      </c>
      <c r="F46" s="58" t="s">
        <v>275</v>
      </c>
      <c r="G46" s="59" t="s">
        <v>108</v>
      </c>
      <c r="H46" s="60">
        <v>160.59</v>
      </c>
      <c r="I46" s="61">
        <v>396.71</v>
      </c>
      <c r="J46" s="60">
        <v>63707.7</v>
      </c>
      <c r="K46" s="68">
        <v>0</v>
      </c>
      <c r="L46" s="69">
        <f t="shared" si="0"/>
        <v>396.71</v>
      </c>
      <c r="M46" s="273">
        <f t="shared" si="1"/>
        <v>0</v>
      </c>
      <c r="N46" s="71">
        <f t="shared" si="2"/>
        <v>160.59</v>
      </c>
      <c r="O46" s="72">
        <f t="shared" si="3"/>
        <v>396.71</v>
      </c>
      <c r="P46" s="274">
        <f t="shared" si="4"/>
        <v>63707.658899999995</v>
      </c>
      <c r="Q46" s="237">
        <f t="shared" si="5"/>
        <v>168.64</v>
      </c>
      <c r="AB46" s="194"/>
    </row>
    <row r="47" spans="2:28" s="121" customFormat="1" ht="16.5" customHeight="1" x14ac:dyDescent="0.2">
      <c r="B47" s="120"/>
      <c r="C47" s="56" t="s">
        <v>186</v>
      </c>
      <c r="D47" s="56" t="s">
        <v>96</v>
      </c>
      <c r="E47" s="57" t="s">
        <v>277</v>
      </c>
      <c r="F47" s="58" t="s">
        <v>278</v>
      </c>
      <c r="G47" s="59" t="s">
        <v>108</v>
      </c>
      <c r="H47" s="60">
        <v>84.12</v>
      </c>
      <c r="I47" s="61">
        <v>559.51</v>
      </c>
      <c r="J47" s="60">
        <v>47066</v>
      </c>
      <c r="K47" s="68">
        <v>0</v>
      </c>
      <c r="L47" s="69">
        <f t="shared" si="0"/>
        <v>559.51</v>
      </c>
      <c r="M47" s="273">
        <f t="shared" si="1"/>
        <v>0</v>
      </c>
      <c r="N47" s="71">
        <f t="shared" si="2"/>
        <v>84.12</v>
      </c>
      <c r="O47" s="72">
        <f t="shared" si="3"/>
        <v>559.51</v>
      </c>
      <c r="P47" s="274">
        <f t="shared" si="4"/>
        <v>47065.981200000002</v>
      </c>
      <c r="Q47" s="237">
        <f t="shared" si="5"/>
        <v>88.33</v>
      </c>
      <c r="AB47" s="194"/>
    </row>
    <row r="48" spans="2:28" s="170" customFormat="1" ht="22.9" customHeight="1" x14ac:dyDescent="0.2">
      <c r="B48" s="165"/>
      <c r="C48" s="252"/>
      <c r="D48" s="253" t="s">
        <v>4</v>
      </c>
      <c r="E48" s="254" t="s">
        <v>115</v>
      </c>
      <c r="F48" s="254" t="s">
        <v>288</v>
      </c>
      <c r="G48" s="252"/>
      <c r="H48" s="252"/>
      <c r="I48" s="255"/>
      <c r="J48" s="256">
        <f>+SUBTOTAL(9,J49:J68)</f>
        <v>229151.89999999994</v>
      </c>
      <c r="K48" s="261"/>
      <c r="L48" s="262"/>
      <c r="M48" s="279">
        <f>SUM(M49:M68)</f>
        <v>-11827.689999999999</v>
      </c>
      <c r="N48" s="280"/>
      <c r="O48" s="262"/>
      <c r="P48" s="279">
        <f>SUM(P49:P68)</f>
        <v>217324.18809999994</v>
      </c>
      <c r="Q48" s="237">
        <f t="shared" si="5"/>
        <v>0</v>
      </c>
      <c r="AA48" s="121"/>
      <c r="AB48" s="194"/>
    </row>
    <row r="49" spans="2:28" s="121" customFormat="1" ht="16.5" customHeight="1" x14ac:dyDescent="0.2">
      <c r="B49" s="120"/>
      <c r="C49" s="56" t="s">
        <v>189</v>
      </c>
      <c r="D49" s="56" t="s">
        <v>96</v>
      </c>
      <c r="E49" s="57" t="s">
        <v>296</v>
      </c>
      <c r="F49" s="58" t="s">
        <v>297</v>
      </c>
      <c r="G49" s="59" t="s">
        <v>133</v>
      </c>
      <c r="H49" s="60">
        <v>72.849999999999994</v>
      </c>
      <c r="I49" s="61">
        <v>552.39</v>
      </c>
      <c r="J49" s="60">
        <v>40241.599999999999</v>
      </c>
      <c r="K49" s="68">
        <v>-7</v>
      </c>
      <c r="L49" s="69">
        <f t="shared" si="0"/>
        <v>552.39</v>
      </c>
      <c r="M49" s="273">
        <f t="shared" si="1"/>
        <v>-3866.73</v>
      </c>
      <c r="N49" s="71">
        <f t="shared" si="2"/>
        <v>65.849999999999994</v>
      </c>
      <c r="O49" s="72">
        <f t="shared" si="3"/>
        <v>552.39</v>
      </c>
      <c r="P49" s="274">
        <f t="shared" si="4"/>
        <v>36374.881499999996</v>
      </c>
      <c r="Q49" s="237">
        <f t="shared" si="5"/>
        <v>76.5</v>
      </c>
      <c r="AB49" s="194"/>
    </row>
    <row r="50" spans="2:28" s="121" customFormat="1" ht="16.5" customHeight="1" x14ac:dyDescent="0.2">
      <c r="B50" s="120"/>
      <c r="C50" s="73" t="s">
        <v>192</v>
      </c>
      <c r="D50" s="73" t="s">
        <v>209</v>
      </c>
      <c r="E50" s="74" t="s">
        <v>299</v>
      </c>
      <c r="F50" s="75" t="s">
        <v>300</v>
      </c>
      <c r="G50" s="76" t="s">
        <v>133</v>
      </c>
      <c r="H50" s="77">
        <v>72.849999999999994</v>
      </c>
      <c r="I50" s="78">
        <v>1060.07</v>
      </c>
      <c r="J50" s="77">
        <v>77226.100000000006</v>
      </c>
      <c r="K50" s="68">
        <v>-7</v>
      </c>
      <c r="L50" s="69">
        <f t="shared" si="0"/>
        <v>1060.07</v>
      </c>
      <c r="M50" s="273">
        <f t="shared" si="1"/>
        <v>-7420.49</v>
      </c>
      <c r="N50" s="71">
        <f t="shared" si="2"/>
        <v>65.849999999999994</v>
      </c>
      <c r="O50" s="72">
        <f t="shared" si="3"/>
        <v>1060.07</v>
      </c>
      <c r="P50" s="274">
        <f t="shared" si="4"/>
        <v>69805.609499999991</v>
      </c>
      <c r="Q50" s="237">
        <f t="shared" si="5"/>
        <v>76.5</v>
      </c>
      <c r="AB50" s="194"/>
    </row>
    <row r="51" spans="2:28" s="121" customFormat="1" ht="16.5" customHeight="1" x14ac:dyDescent="0.2">
      <c r="B51" s="120"/>
      <c r="C51" s="73" t="s">
        <v>195</v>
      </c>
      <c r="D51" s="73" t="s">
        <v>209</v>
      </c>
      <c r="E51" s="74" t="s">
        <v>302</v>
      </c>
      <c r="F51" s="75" t="s">
        <v>303</v>
      </c>
      <c r="G51" s="76" t="s">
        <v>99</v>
      </c>
      <c r="H51" s="77">
        <v>4</v>
      </c>
      <c r="I51" s="78">
        <v>739.15</v>
      </c>
      <c r="J51" s="77">
        <v>2956.6</v>
      </c>
      <c r="K51" s="68">
        <v>0</v>
      </c>
      <c r="L51" s="69">
        <f t="shared" si="0"/>
        <v>739.15</v>
      </c>
      <c r="M51" s="273">
        <f t="shared" si="1"/>
        <v>0</v>
      </c>
      <c r="N51" s="71">
        <f t="shared" si="2"/>
        <v>4</v>
      </c>
      <c r="O51" s="72">
        <f t="shared" si="3"/>
        <v>739.15</v>
      </c>
      <c r="P51" s="274">
        <f t="shared" si="4"/>
        <v>2956.6</v>
      </c>
      <c r="Q51" s="237">
        <f t="shared" si="5"/>
        <v>4.2</v>
      </c>
      <c r="AB51" s="194"/>
    </row>
    <row r="52" spans="2:28" s="121" customFormat="1" ht="16.5" customHeight="1" x14ac:dyDescent="0.2">
      <c r="B52" s="120"/>
      <c r="C52" s="56" t="s">
        <v>198</v>
      </c>
      <c r="D52" s="56" t="s">
        <v>96</v>
      </c>
      <c r="E52" s="57" t="s">
        <v>320</v>
      </c>
      <c r="F52" s="58" t="s">
        <v>321</v>
      </c>
      <c r="G52" s="59" t="s">
        <v>99</v>
      </c>
      <c r="H52" s="60">
        <v>1</v>
      </c>
      <c r="I52" s="61">
        <v>260.41000000000003</v>
      </c>
      <c r="J52" s="60">
        <v>260.39999999999998</v>
      </c>
      <c r="K52" s="68">
        <v>0</v>
      </c>
      <c r="L52" s="69">
        <f t="shared" si="0"/>
        <v>260.41000000000003</v>
      </c>
      <c r="M52" s="273">
        <f t="shared" si="1"/>
        <v>0</v>
      </c>
      <c r="N52" s="71">
        <f t="shared" si="2"/>
        <v>1</v>
      </c>
      <c r="O52" s="72">
        <f t="shared" si="3"/>
        <v>260.41000000000003</v>
      </c>
      <c r="P52" s="274">
        <f t="shared" si="4"/>
        <v>260.41000000000003</v>
      </c>
      <c r="Q52" s="237">
        <f t="shared" si="5"/>
        <v>1.05</v>
      </c>
      <c r="AB52" s="194"/>
    </row>
    <row r="53" spans="2:28" s="121" customFormat="1" ht="16.5" customHeight="1" x14ac:dyDescent="0.2">
      <c r="B53" s="120"/>
      <c r="C53" s="73" t="s">
        <v>202</v>
      </c>
      <c r="D53" s="73" t="s">
        <v>209</v>
      </c>
      <c r="E53" s="74" t="s">
        <v>326</v>
      </c>
      <c r="F53" s="75" t="s">
        <v>327</v>
      </c>
      <c r="G53" s="76" t="s">
        <v>99</v>
      </c>
      <c r="H53" s="77">
        <v>1.02</v>
      </c>
      <c r="I53" s="78">
        <v>1801.85</v>
      </c>
      <c r="J53" s="77">
        <v>1837.9</v>
      </c>
      <c r="K53" s="68">
        <v>0</v>
      </c>
      <c r="L53" s="69">
        <f t="shared" si="0"/>
        <v>1801.85</v>
      </c>
      <c r="M53" s="273">
        <f t="shared" si="1"/>
        <v>0</v>
      </c>
      <c r="N53" s="71">
        <f t="shared" si="2"/>
        <v>1.02</v>
      </c>
      <c r="O53" s="72">
        <f t="shared" si="3"/>
        <v>1801.85</v>
      </c>
      <c r="P53" s="274">
        <f t="shared" si="4"/>
        <v>1837.8869999999999</v>
      </c>
      <c r="Q53" s="237">
        <f t="shared" si="5"/>
        <v>1.07</v>
      </c>
      <c r="AB53" s="194"/>
    </row>
    <row r="54" spans="2:28" s="121" customFormat="1" ht="16.5" customHeight="1" x14ac:dyDescent="0.2">
      <c r="B54" s="120"/>
      <c r="C54" s="56" t="s">
        <v>205</v>
      </c>
      <c r="D54" s="56" t="s">
        <v>96</v>
      </c>
      <c r="E54" s="57" t="s">
        <v>329</v>
      </c>
      <c r="F54" s="58" t="s">
        <v>330</v>
      </c>
      <c r="G54" s="59" t="s">
        <v>99</v>
      </c>
      <c r="H54" s="60">
        <v>5</v>
      </c>
      <c r="I54" s="61">
        <v>219.64</v>
      </c>
      <c r="J54" s="60">
        <v>1098.2</v>
      </c>
      <c r="K54" s="68">
        <v>0</v>
      </c>
      <c r="L54" s="69">
        <f t="shared" si="0"/>
        <v>219.64</v>
      </c>
      <c r="M54" s="273">
        <f t="shared" si="1"/>
        <v>0</v>
      </c>
      <c r="N54" s="71">
        <f t="shared" si="2"/>
        <v>5</v>
      </c>
      <c r="O54" s="72">
        <f t="shared" si="3"/>
        <v>219.64</v>
      </c>
      <c r="P54" s="274">
        <f t="shared" si="4"/>
        <v>1098.1999999999998</v>
      </c>
      <c r="Q54" s="237">
        <f t="shared" si="5"/>
        <v>5.25</v>
      </c>
      <c r="AB54" s="194"/>
    </row>
    <row r="55" spans="2:28" s="121" customFormat="1" ht="16.5" customHeight="1" x14ac:dyDescent="0.2">
      <c r="B55" s="120"/>
      <c r="C55" s="73" t="s">
        <v>208</v>
      </c>
      <c r="D55" s="73" t="s">
        <v>209</v>
      </c>
      <c r="E55" s="74" t="s">
        <v>332</v>
      </c>
      <c r="F55" s="75" t="s">
        <v>333</v>
      </c>
      <c r="G55" s="76" t="s">
        <v>99</v>
      </c>
      <c r="H55" s="77">
        <v>2.0299999999999998</v>
      </c>
      <c r="I55" s="78">
        <v>1129.77</v>
      </c>
      <c r="J55" s="77">
        <v>2293.4</v>
      </c>
      <c r="K55" s="68">
        <v>0</v>
      </c>
      <c r="L55" s="69">
        <f t="shared" si="0"/>
        <v>1129.77</v>
      </c>
      <c r="M55" s="273">
        <f t="shared" si="1"/>
        <v>0</v>
      </c>
      <c r="N55" s="71">
        <f t="shared" si="2"/>
        <v>2.0299999999999998</v>
      </c>
      <c r="O55" s="72">
        <f t="shared" si="3"/>
        <v>1129.77</v>
      </c>
      <c r="P55" s="274">
        <f t="shared" si="4"/>
        <v>2293.4330999999997</v>
      </c>
      <c r="Q55" s="237">
        <f t="shared" si="5"/>
        <v>2.13</v>
      </c>
      <c r="Z55" s="334" t="s">
        <v>1145</v>
      </c>
      <c r="AA55" s="336" t="s">
        <v>1156</v>
      </c>
      <c r="AB55" s="343" t="s">
        <v>1159</v>
      </c>
    </row>
    <row r="56" spans="2:28" s="121" customFormat="1" ht="16.5" customHeight="1" x14ac:dyDescent="0.2">
      <c r="B56" s="120"/>
      <c r="C56" s="73" t="s">
        <v>212</v>
      </c>
      <c r="D56" s="73" t="s">
        <v>209</v>
      </c>
      <c r="E56" s="74" t="s">
        <v>335</v>
      </c>
      <c r="F56" s="75" t="s">
        <v>336</v>
      </c>
      <c r="G56" s="76" t="s">
        <v>99</v>
      </c>
      <c r="H56" s="77">
        <v>3.05</v>
      </c>
      <c r="I56" s="78">
        <v>1129.77</v>
      </c>
      <c r="J56" s="77">
        <v>3445.8</v>
      </c>
      <c r="K56" s="68">
        <v>0</v>
      </c>
      <c r="L56" s="69">
        <f t="shared" si="0"/>
        <v>1129.77</v>
      </c>
      <c r="M56" s="273">
        <f t="shared" si="1"/>
        <v>0</v>
      </c>
      <c r="N56" s="71">
        <f t="shared" si="2"/>
        <v>3.05</v>
      </c>
      <c r="O56" s="72">
        <f t="shared" si="3"/>
        <v>1129.77</v>
      </c>
      <c r="P56" s="274">
        <f t="shared" si="4"/>
        <v>3445.7984999999999</v>
      </c>
      <c r="Q56" s="237">
        <f t="shared" si="5"/>
        <v>3.2</v>
      </c>
      <c r="Z56" s="334"/>
      <c r="AA56" s="336"/>
      <c r="AB56" s="343"/>
    </row>
    <row r="57" spans="2:28" s="121" customFormat="1" ht="33.75" customHeight="1" x14ac:dyDescent="0.2">
      <c r="B57" s="120"/>
      <c r="C57" s="56" t="s">
        <v>215</v>
      </c>
      <c r="D57" s="56" t="s">
        <v>96</v>
      </c>
      <c r="E57" s="57" t="s">
        <v>347</v>
      </c>
      <c r="F57" s="58" t="s">
        <v>348</v>
      </c>
      <c r="G57" s="59" t="s">
        <v>133</v>
      </c>
      <c r="H57" s="60">
        <v>72.849999999999994</v>
      </c>
      <c r="I57" s="61">
        <v>68</v>
      </c>
      <c r="J57" s="60">
        <v>4953.8</v>
      </c>
      <c r="K57" s="68">
        <v>-7</v>
      </c>
      <c r="L57" s="69">
        <f t="shared" si="0"/>
        <v>68</v>
      </c>
      <c r="M57" s="273">
        <f t="shared" si="1"/>
        <v>-476</v>
      </c>
      <c r="N57" s="71">
        <f t="shared" si="2"/>
        <v>65.849999999999994</v>
      </c>
      <c r="O57" s="72">
        <f t="shared" si="3"/>
        <v>68</v>
      </c>
      <c r="P57" s="274">
        <f t="shared" si="4"/>
        <v>4477.7999999999993</v>
      </c>
      <c r="Q57" s="237">
        <f t="shared" si="5"/>
        <v>76.5</v>
      </c>
      <c r="AB57" s="194"/>
    </row>
    <row r="58" spans="2:28" s="121" customFormat="1" ht="16.5" customHeight="1" x14ac:dyDescent="0.2">
      <c r="B58" s="120"/>
      <c r="C58" s="56" t="s">
        <v>219</v>
      </c>
      <c r="D58" s="56" t="s">
        <v>96</v>
      </c>
      <c r="E58" s="57" t="s">
        <v>350</v>
      </c>
      <c r="F58" s="58" t="s">
        <v>351</v>
      </c>
      <c r="G58" s="59" t="s">
        <v>99</v>
      </c>
      <c r="H58" s="60">
        <v>6</v>
      </c>
      <c r="I58" s="61">
        <v>808.86</v>
      </c>
      <c r="J58" s="60">
        <v>4853.2</v>
      </c>
      <c r="K58" s="68">
        <v>0</v>
      </c>
      <c r="L58" s="69">
        <f t="shared" si="0"/>
        <v>808.86</v>
      </c>
      <c r="M58" s="273">
        <f t="shared" si="1"/>
        <v>0</v>
      </c>
      <c r="N58" s="71">
        <f t="shared" si="2"/>
        <v>6</v>
      </c>
      <c r="O58" s="72">
        <f t="shared" si="3"/>
        <v>808.86</v>
      </c>
      <c r="P58" s="274">
        <f t="shared" si="4"/>
        <v>4853.16</v>
      </c>
      <c r="Q58" s="237">
        <f t="shared" si="5"/>
        <v>6.3</v>
      </c>
      <c r="AB58" s="194"/>
    </row>
    <row r="59" spans="2:28" s="121" customFormat="1" ht="16.5" customHeight="1" x14ac:dyDescent="0.2">
      <c r="B59" s="120"/>
      <c r="C59" s="73" t="s">
        <v>223</v>
      </c>
      <c r="D59" s="73" t="s">
        <v>209</v>
      </c>
      <c r="E59" s="74" t="s">
        <v>356</v>
      </c>
      <c r="F59" s="75" t="s">
        <v>357</v>
      </c>
      <c r="G59" s="76" t="s">
        <v>99</v>
      </c>
      <c r="H59" s="77">
        <v>3</v>
      </c>
      <c r="I59" s="78">
        <v>1202.1099999999999</v>
      </c>
      <c r="J59" s="77">
        <v>3606.3</v>
      </c>
      <c r="K59" s="68">
        <v>0</v>
      </c>
      <c r="L59" s="69">
        <f t="shared" si="0"/>
        <v>1202.1099999999999</v>
      </c>
      <c r="M59" s="273">
        <f t="shared" si="1"/>
        <v>0</v>
      </c>
      <c r="N59" s="71">
        <f t="shared" si="2"/>
        <v>3</v>
      </c>
      <c r="O59" s="72">
        <f t="shared" si="3"/>
        <v>1202.1099999999999</v>
      </c>
      <c r="P59" s="274">
        <f t="shared" si="4"/>
        <v>3606.33</v>
      </c>
      <c r="Q59" s="237">
        <f t="shared" si="5"/>
        <v>3.15</v>
      </c>
      <c r="AB59" s="194"/>
    </row>
    <row r="60" spans="2:28" s="121" customFormat="1" ht="16.5" customHeight="1" x14ac:dyDescent="0.2">
      <c r="B60" s="120"/>
      <c r="C60" s="73" t="s">
        <v>226</v>
      </c>
      <c r="D60" s="73" t="s">
        <v>209</v>
      </c>
      <c r="E60" s="74" t="s">
        <v>359</v>
      </c>
      <c r="F60" s="75" t="s">
        <v>360</v>
      </c>
      <c r="G60" s="76" t="s">
        <v>99</v>
      </c>
      <c r="H60" s="77">
        <v>3</v>
      </c>
      <c r="I60" s="78">
        <v>775.98</v>
      </c>
      <c r="J60" s="77">
        <v>2327.9</v>
      </c>
      <c r="K60" s="68">
        <v>0</v>
      </c>
      <c r="L60" s="69">
        <f t="shared" si="0"/>
        <v>775.98</v>
      </c>
      <c r="M60" s="273">
        <f t="shared" si="1"/>
        <v>0</v>
      </c>
      <c r="N60" s="71">
        <f t="shared" si="2"/>
        <v>3</v>
      </c>
      <c r="O60" s="72">
        <f t="shared" si="3"/>
        <v>775.98</v>
      </c>
      <c r="P60" s="274">
        <f t="shared" si="4"/>
        <v>2327.94</v>
      </c>
      <c r="Q60" s="237">
        <f t="shared" si="5"/>
        <v>3.15</v>
      </c>
      <c r="AB60" s="194"/>
    </row>
    <row r="61" spans="2:28" s="121" customFormat="1" ht="16.5" customHeight="1" x14ac:dyDescent="0.2">
      <c r="B61" s="120"/>
      <c r="C61" s="73" t="s">
        <v>230</v>
      </c>
      <c r="D61" s="73" t="s">
        <v>209</v>
      </c>
      <c r="E61" s="74" t="s">
        <v>362</v>
      </c>
      <c r="F61" s="75" t="s">
        <v>363</v>
      </c>
      <c r="G61" s="76" t="s">
        <v>99</v>
      </c>
      <c r="H61" s="77">
        <v>9</v>
      </c>
      <c r="I61" s="78">
        <v>211.75</v>
      </c>
      <c r="J61" s="77">
        <v>1905.8</v>
      </c>
      <c r="K61" s="68">
        <v>0</v>
      </c>
      <c r="L61" s="69">
        <f t="shared" si="0"/>
        <v>211.75</v>
      </c>
      <c r="M61" s="273">
        <f t="shared" si="1"/>
        <v>0</v>
      </c>
      <c r="N61" s="71">
        <f t="shared" si="2"/>
        <v>9</v>
      </c>
      <c r="O61" s="72">
        <f t="shared" si="3"/>
        <v>211.75</v>
      </c>
      <c r="P61" s="274">
        <f t="shared" si="4"/>
        <v>1905.75</v>
      </c>
      <c r="Q61" s="237">
        <f t="shared" si="5"/>
        <v>9.4499999999999993</v>
      </c>
      <c r="AB61" s="194"/>
    </row>
    <row r="62" spans="2:28" s="121" customFormat="1" ht="16.5" customHeight="1" x14ac:dyDescent="0.2">
      <c r="B62" s="120"/>
      <c r="C62" s="56" t="s">
        <v>233</v>
      </c>
      <c r="D62" s="56" t="s">
        <v>96</v>
      </c>
      <c r="E62" s="57" t="s">
        <v>365</v>
      </c>
      <c r="F62" s="58" t="s">
        <v>366</v>
      </c>
      <c r="G62" s="59" t="s">
        <v>99</v>
      </c>
      <c r="H62" s="60">
        <v>3</v>
      </c>
      <c r="I62" s="61">
        <v>808.86</v>
      </c>
      <c r="J62" s="60">
        <v>2426.6</v>
      </c>
      <c r="K62" s="68">
        <v>0</v>
      </c>
      <c r="L62" s="69">
        <f t="shared" si="0"/>
        <v>808.86</v>
      </c>
      <c r="M62" s="273">
        <f t="shared" si="1"/>
        <v>0</v>
      </c>
      <c r="N62" s="71">
        <f t="shared" si="2"/>
        <v>3</v>
      </c>
      <c r="O62" s="72">
        <f t="shared" si="3"/>
        <v>808.86</v>
      </c>
      <c r="P62" s="274">
        <f t="shared" si="4"/>
        <v>2426.58</v>
      </c>
      <c r="Q62" s="237">
        <f t="shared" si="5"/>
        <v>3.15</v>
      </c>
      <c r="AB62" s="194"/>
    </row>
    <row r="63" spans="2:28" s="121" customFormat="1" ht="16.5" customHeight="1" x14ac:dyDescent="0.2">
      <c r="B63" s="120"/>
      <c r="C63" s="73" t="s">
        <v>236</v>
      </c>
      <c r="D63" s="73" t="s">
        <v>209</v>
      </c>
      <c r="E63" s="74" t="s">
        <v>368</v>
      </c>
      <c r="F63" s="75" t="s">
        <v>369</v>
      </c>
      <c r="G63" s="76" t="s">
        <v>99</v>
      </c>
      <c r="H63" s="77">
        <v>3</v>
      </c>
      <c r="I63" s="78">
        <v>1530.92</v>
      </c>
      <c r="J63" s="77">
        <v>4592.8</v>
      </c>
      <c r="K63" s="68">
        <v>0</v>
      </c>
      <c r="L63" s="69">
        <f t="shared" si="0"/>
        <v>1530.92</v>
      </c>
      <c r="M63" s="273">
        <f t="shared" si="1"/>
        <v>0</v>
      </c>
      <c r="N63" s="71">
        <f t="shared" si="2"/>
        <v>3</v>
      </c>
      <c r="O63" s="72">
        <f t="shared" si="3"/>
        <v>1530.92</v>
      </c>
      <c r="P63" s="274">
        <f t="shared" si="4"/>
        <v>4592.76</v>
      </c>
      <c r="Q63" s="237">
        <f t="shared" si="5"/>
        <v>3.15</v>
      </c>
      <c r="AB63" s="194"/>
    </row>
    <row r="64" spans="2:28" s="121" customFormat="1" ht="16.5" customHeight="1" x14ac:dyDescent="0.2">
      <c r="B64" s="120"/>
      <c r="C64" s="56" t="s">
        <v>239</v>
      </c>
      <c r="D64" s="56" t="s">
        <v>96</v>
      </c>
      <c r="E64" s="57" t="s">
        <v>371</v>
      </c>
      <c r="F64" s="58" t="s">
        <v>372</v>
      </c>
      <c r="G64" s="59" t="s">
        <v>99</v>
      </c>
      <c r="H64" s="60">
        <v>3</v>
      </c>
      <c r="I64" s="61">
        <v>3234.12</v>
      </c>
      <c r="J64" s="60">
        <v>9702.4</v>
      </c>
      <c r="K64" s="68">
        <v>0</v>
      </c>
      <c r="L64" s="69">
        <f t="shared" si="0"/>
        <v>3234.12</v>
      </c>
      <c r="M64" s="273">
        <f t="shared" si="1"/>
        <v>0</v>
      </c>
      <c r="N64" s="71">
        <f t="shared" si="2"/>
        <v>3</v>
      </c>
      <c r="O64" s="72">
        <f t="shared" si="3"/>
        <v>3234.12</v>
      </c>
      <c r="P64" s="274">
        <f t="shared" si="4"/>
        <v>9702.36</v>
      </c>
      <c r="Q64" s="237">
        <f t="shared" si="5"/>
        <v>3.15</v>
      </c>
      <c r="AB64" s="194"/>
    </row>
    <row r="65" spans="2:28" s="121" customFormat="1" ht="16.5" customHeight="1" x14ac:dyDescent="0.2">
      <c r="B65" s="120"/>
      <c r="C65" s="73" t="s">
        <v>242</v>
      </c>
      <c r="D65" s="73" t="s">
        <v>209</v>
      </c>
      <c r="E65" s="74" t="s">
        <v>374</v>
      </c>
      <c r="F65" s="75" t="s">
        <v>375</v>
      </c>
      <c r="G65" s="76" t="s">
        <v>99</v>
      </c>
      <c r="H65" s="77">
        <v>3</v>
      </c>
      <c r="I65" s="78">
        <v>14588.41</v>
      </c>
      <c r="J65" s="77">
        <v>43765.2</v>
      </c>
      <c r="K65" s="68">
        <v>0</v>
      </c>
      <c r="L65" s="69">
        <f t="shared" si="0"/>
        <v>14588.41</v>
      </c>
      <c r="M65" s="273">
        <f t="shared" si="1"/>
        <v>0</v>
      </c>
      <c r="N65" s="71">
        <f t="shared" si="2"/>
        <v>3</v>
      </c>
      <c r="O65" s="72">
        <f t="shared" si="3"/>
        <v>14588.41</v>
      </c>
      <c r="P65" s="274">
        <f t="shared" si="4"/>
        <v>43765.229999999996</v>
      </c>
      <c r="Q65" s="237">
        <f t="shared" si="5"/>
        <v>3.15</v>
      </c>
      <c r="AB65" s="194"/>
    </row>
    <row r="66" spans="2:28" s="121" customFormat="1" ht="16.5" customHeight="1" x14ac:dyDescent="0.2">
      <c r="B66" s="120"/>
      <c r="C66" s="56" t="s">
        <v>245</v>
      </c>
      <c r="D66" s="56" t="s">
        <v>96</v>
      </c>
      <c r="E66" s="57" t="s">
        <v>377</v>
      </c>
      <c r="F66" s="58" t="s">
        <v>378</v>
      </c>
      <c r="G66" s="59" t="s">
        <v>99</v>
      </c>
      <c r="H66" s="60">
        <v>3</v>
      </c>
      <c r="I66" s="61">
        <v>485.32</v>
      </c>
      <c r="J66" s="60">
        <v>1456</v>
      </c>
      <c r="K66" s="68">
        <v>0</v>
      </c>
      <c r="L66" s="69">
        <f t="shared" si="0"/>
        <v>485.32</v>
      </c>
      <c r="M66" s="273">
        <f t="shared" si="1"/>
        <v>0</v>
      </c>
      <c r="N66" s="71">
        <f t="shared" si="2"/>
        <v>3</v>
      </c>
      <c r="O66" s="72">
        <f t="shared" si="3"/>
        <v>485.32</v>
      </c>
      <c r="P66" s="274">
        <f t="shared" si="4"/>
        <v>1455.96</v>
      </c>
      <c r="Q66" s="237">
        <f t="shared" si="5"/>
        <v>3.15</v>
      </c>
      <c r="AB66" s="194"/>
    </row>
    <row r="67" spans="2:28" s="121" customFormat="1" ht="16.5" customHeight="1" x14ac:dyDescent="0.2">
      <c r="B67" s="120"/>
      <c r="C67" s="73" t="s">
        <v>248</v>
      </c>
      <c r="D67" s="73" t="s">
        <v>209</v>
      </c>
      <c r="E67" s="74" t="s">
        <v>380</v>
      </c>
      <c r="F67" s="75" t="s">
        <v>381</v>
      </c>
      <c r="G67" s="76" t="s">
        <v>99</v>
      </c>
      <c r="H67" s="77">
        <v>3</v>
      </c>
      <c r="I67" s="78">
        <v>6510.34</v>
      </c>
      <c r="J67" s="77">
        <v>19531</v>
      </c>
      <c r="K67" s="68">
        <v>0</v>
      </c>
      <c r="L67" s="69">
        <f t="shared" si="0"/>
        <v>6510.34</v>
      </c>
      <c r="M67" s="273">
        <f t="shared" si="1"/>
        <v>0</v>
      </c>
      <c r="N67" s="71">
        <f t="shared" si="2"/>
        <v>3</v>
      </c>
      <c r="O67" s="72">
        <f t="shared" si="3"/>
        <v>6510.34</v>
      </c>
      <c r="P67" s="274">
        <f t="shared" si="4"/>
        <v>19531.02</v>
      </c>
      <c r="Q67" s="237">
        <f t="shared" si="5"/>
        <v>3.15</v>
      </c>
      <c r="AB67" s="194"/>
    </row>
    <row r="68" spans="2:28" s="121" customFormat="1" ht="16.5" customHeight="1" x14ac:dyDescent="0.2">
      <c r="B68" s="120"/>
      <c r="C68" s="56" t="s">
        <v>251</v>
      </c>
      <c r="D68" s="56" t="s">
        <v>96</v>
      </c>
      <c r="E68" s="57" t="s">
        <v>383</v>
      </c>
      <c r="F68" s="58" t="s">
        <v>384</v>
      </c>
      <c r="G68" s="59" t="s">
        <v>133</v>
      </c>
      <c r="H68" s="60">
        <v>72.849999999999994</v>
      </c>
      <c r="I68" s="61">
        <v>9.2100000000000009</v>
      </c>
      <c r="J68" s="60">
        <v>670.9</v>
      </c>
      <c r="K68" s="68">
        <v>-7</v>
      </c>
      <c r="L68" s="69">
        <f t="shared" si="0"/>
        <v>9.2100000000000009</v>
      </c>
      <c r="M68" s="273">
        <f t="shared" si="1"/>
        <v>-64.47</v>
      </c>
      <c r="N68" s="71">
        <f t="shared" si="2"/>
        <v>65.849999999999994</v>
      </c>
      <c r="O68" s="72">
        <f t="shared" si="3"/>
        <v>9.2100000000000009</v>
      </c>
      <c r="P68" s="274">
        <f t="shared" si="4"/>
        <v>606.47850000000005</v>
      </c>
      <c r="Q68" s="237">
        <f t="shared" si="5"/>
        <v>76.5</v>
      </c>
      <c r="AB68" s="194"/>
    </row>
    <row r="69" spans="2:28" s="170" customFormat="1" ht="22.9" customHeight="1" x14ac:dyDescent="0.2">
      <c r="B69" s="165"/>
      <c r="C69" s="252"/>
      <c r="D69" s="253" t="s">
        <v>4</v>
      </c>
      <c r="E69" s="254" t="s">
        <v>118</v>
      </c>
      <c r="F69" s="254" t="s">
        <v>385</v>
      </c>
      <c r="G69" s="252"/>
      <c r="H69" s="252"/>
      <c r="I69" s="255"/>
      <c r="J69" s="256">
        <f>+SUBTOTAL(9,J70:J71)</f>
        <v>24468.9</v>
      </c>
      <c r="K69" s="261"/>
      <c r="L69" s="262"/>
      <c r="M69" s="279">
        <f>SUM(M70:M71)</f>
        <v>0</v>
      </c>
      <c r="N69" s="280"/>
      <c r="O69" s="262"/>
      <c r="P69" s="279">
        <f>SUM(P70:P71)</f>
        <v>24468.870600000002</v>
      </c>
      <c r="Q69" s="237">
        <f t="shared" si="5"/>
        <v>0</v>
      </c>
      <c r="AA69" s="121"/>
      <c r="AB69" s="194"/>
    </row>
    <row r="70" spans="2:28" s="121" customFormat="1" ht="16.5" customHeight="1" x14ac:dyDescent="0.2">
      <c r="B70" s="120"/>
      <c r="C70" s="56" t="s">
        <v>254</v>
      </c>
      <c r="D70" s="56" t="s">
        <v>96</v>
      </c>
      <c r="E70" s="57" t="s">
        <v>387</v>
      </c>
      <c r="F70" s="58" t="s">
        <v>388</v>
      </c>
      <c r="G70" s="59" t="s">
        <v>133</v>
      </c>
      <c r="H70" s="60">
        <v>152.94</v>
      </c>
      <c r="I70" s="61">
        <v>87.65</v>
      </c>
      <c r="J70" s="60">
        <v>13405.2</v>
      </c>
      <c r="K70" s="68">
        <v>0</v>
      </c>
      <c r="L70" s="69">
        <f t="shared" si="0"/>
        <v>87.65</v>
      </c>
      <c r="M70" s="273">
        <f t="shared" si="1"/>
        <v>0</v>
      </c>
      <c r="N70" s="71">
        <f t="shared" si="2"/>
        <v>152.94</v>
      </c>
      <c r="O70" s="72">
        <f t="shared" si="3"/>
        <v>87.65</v>
      </c>
      <c r="P70" s="274">
        <f t="shared" si="4"/>
        <v>13405.191000000001</v>
      </c>
      <c r="Q70" s="237">
        <f t="shared" si="5"/>
        <v>160.6</v>
      </c>
      <c r="AB70" s="194"/>
    </row>
    <row r="71" spans="2:28" s="121" customFormat="1" ht="16.5" customHeight="1" x14ac:dyDescent="0.2">
      <c r="B71" s="120"/>
      <c r="C71" s="56" t="s">
        <v>258</v>
      </c>
      <c r="D71" s="56" t="s">
        <v>96</v>
      </c>
      <c r="E71" s="57" t="s">
        <v>390</v>
      </c>
      <c r="F71" s="58" t="s">
        <v>391</v>
      </c>
      <c r="G71" s="59" t="s">
        <v>133</v>
      </c>
      <c r="H71" s="60">
        <v>152.94</v>
      </c>
      <c r="I71" s="61">
        <v>72.34</v>
      </c>
      <c r="J71" s="60">
        <v>11063.7</v>
      </c>
      <c r="K71" s="68">
        <v>0</v>
      </c>
      <c r="L71" s="69">
        <f t="shared" si="0"/>
        <v>72.34</v>
      </c>
      <c r="M71" s="273">
        <f t="shared" si="1"/>
        <v>0</v>
      </c>
      <c r="N71" s="71">
        <f t="shared" si="2"/>
        <v>152.94</v>
      </c>
      <c r="O71" s="72">
        <f t="shared" si="3"/>
        <v>72.34</v>
      </c>
      <c r="P71" s="274">
        <f t="shared" si="4"/>
        <v>11063.679599999999</v>
      </c>
      <c r="Q71" s="237">
        <f t="shared" si="5"/>
        <v>160.6</v>
      </c>
      <c r="AB71" s="194"/>
    </row>
    <row r="72" spans="2:28" s="170" customFormat="1" ht="22.9" customHeight="1" x14ac:dyDescent="0.2">
      <c r="B72" s="165"/>
      <c r="C72" s="252"/>
      <c r="D72" s="253" t="s">
        <v>4</v>
      </c>
      <c r="E72" s="254" t="s">
        <v>398</v>
      </c>
      <c r="F72" s="254" t="s">
        <v>399</v>
      </c>
      <c r="G72" s="252"/>
      <c r="H72" s="252"/>
      <c r="I72" s="255"/>
      <c r="J72" s="256">
        <f>+SUBTOTAL(9,J73:J75)</f>
        <v>31112.899999999998</v>
      </c>
      <c r="K72" s="261"/>
      <c r="L72" s="262"/>
      <c r="M72" s="279">
        <f>SUM(M73:M75)</f>
        <v>-1947.5052000000001</v>
      </c>
      <c r="N72" s="280"/>
      <c r="O72" s="262"/>
      <c r="P72" s="279">
        <f>SUM(P73:P75)</f>
        <v>29165.371699999996</v>
      </c>
      <c r="Q72" s="237">
        <f t="shared" si="5"/>
        <v>0</v>
      </c>
      <c r="AA72" s="121"/>
      <c r="AB72" s="194"/>
    </row>
    <row r="73" spans="2:28" s="121" customFormat="1" ht="16.5" customHeight="1" x14ac:dyDescent="0.2">
      <c r="B73" s="120"/>
      <c r="C73" s="56" t="s">
        <v>261</v>
      </c>
      <c r="D73" s="56" t="s">
        <v>96</v>
      </c>
      <c r="E73" s="57" t="s">
        <v>401</v>
      </c>
      <c r="F73" s="58" t="s">
        <v>402</v>
      </c>
      <c r="G73" s="59" t="s">
        <v>201</v>
      </c>
      <c r="H73" s="60">
        <v>79.099999999999994</v>
      </c>
      <c r="I73" s="61">
        <v>183.8</v>
      </c>
      <c r="J73" s="60">
        <v>14538.6</v>
      </c>
      <c r="K73" s="68">
        <f t="shared" ref="K73" si="8">ROUND(69.5/76.5*Q73-Q73,2)</f>
        <v>-7.6</v>
      </c>
      <c r="L73" s="69">
        <f t="shared" si="0"/>
        <v>183.8</v>
      </c>
      <c r="M73" s="273">
        <f t="shared" si="1"/>
        <v>-1396.88</v>
      </c>
      <c r="N73" s="71">
        <f t="shared" si="2"/>
        <v>71.5</v>
      </c>
      <c r="O73" s="72">
        <f t="shared" si="3"/>
        <v>183.8</v>
      </c>
      <c r="P73" s="274">
        <f t="shared" si="4"/>
        <v>13141.7</v>
      </c>
      <c r="Q73" s="237">
        <f t="shared" si="5"/>
        <v>83.06</v>
      </c>
      <c r="AB73" s="194"/>
    </row>
    <row r="74" spans="2:28" s="121" customFormat="1" ht="16.5" customHeight="1" x14ac:dyDescent="0.2">
      <c r="B74" s="120"/>
      <c r="C74" s="56" t="s">
        <v>264</v>
      </c>
      <c r="D74" s="56" t="s">
        <v>96</v>
      </c>
      <c r="E74" s="57" t="s">
        <v>407</v>
      </c>
      <c r="F74" s="58" t="s">
        <v>408</v>
      </c>
      <c r="G74" s="59" t="s">
        <v>201</v>
      </c>
      <c r="H74" s="60">
        <v>42.09</v>
      </c>
      <c r="I74" s="61">
        <v>257.77999999999997</v>
      </c>
      <c r="J74" s="60">
        <v>10850</v>
      </c>
      <c r="K74" s="68">
        <v>0</v>
      </c>
      <c r="L74" s="69">
        <f t="shared" si="0"/>
        <v>257.77999999999997</v>
      </c>
      <c r="M74" s="273">
        <f t="shared" si="1"/>
        <v>0</v>
      </c>
      <c r="N74" s="71">
        <f t="shared" si="2"/>
        <v>42.09</v>
      </c>
      <c r="O74" s="72">
        <f t="shared" si="3"/>
        <v>257.77999999999997</v>
      </c>
      <c r="P74" s="274">
        <f t="shared" si="4"/>
        <v>10849.9602</v>
      </c>
      <c r="Q74" s="237">
        <f t="shared" si="5"/>
        <v>44.2</v>
      </c>
      <c r="AB74" s="194"/>
    </row>
    <row r="75" spans="2:28" s="121" customFormat="1" ht="16.5" customHeight="1" x14ac:dyDescent="0.2">
      <c r="B75" s="120"/>
      <c r="C75" s="56" t="s">
        <v>267</v>
      </c>
      <c r="D75" s="56" t="s">
        <v>96</v>
      </c>
      <c r="E75" s="57" t="s">
        <v>410</v>
      </c>
      <c r="F75" s="58" t="s">
        <v>411</v>
      </c>
      <c r="G75" s="59" t="s">
        <v>201</v>
      </c>
      <c r="H75" s="60">
        <v>37.01</v>
      </c>
      <c r="I75" s="61">
        <v>154.66999999999999</v>
      </c>
      <c r="J75" s="60">
        <v>5724.3</v>
      </c>
      <c r="K75" s="68">
        <f t="shared" ref="K75" si="9">ROUND(69.5/76.5*Q75-Q75,2)</f>
        <v>-3.56</v>
      </c>
      <c r="L75" s="69">
        <f t="shared" si="0"/>
        <v>154.66999999999999</v>
      </c>
      <c r="M75" s="273">
        <f t="shared" si="1"/>
        <v>-550.62519999999995</v>
      </c>
      <c r="N75" s="71">
        <f t="shared" si="2"/>
        <v>33.449999999999996</v>
      </c>
      <c r="O75" s="72">
        <f t="shared" si="3"/>
        <v>154.66999999999999</v>
      </c>
      <c r="P75" s="274">
        <f t="shared" si="4"/>
        <v>5173.7114999999985</v>
      </c>
      <c r="Q75" s="237">
        <f t="shared" si="5"/>
        <v>38.86</v>
      </c>
      <c r="AB75" s="194"/>
    </row>
    <row r="76" spans="2:28" s="170" customFormat="1" ht="22.9" customHeight="1" x14ac:dyDescent="0.2">
      <c r="B76" s="165"/>
      <c r="C76" s="252"/>
      <c r="D76" s="253" t="s">
        <v>4</v>
      </c>
      <c r="E76" s="254" t="s">
        <v>412</v>
      </c>
      <c r="F76" s="254" t="s">
        <v>413</v>
      </c>
      <c r="G76" s="252"/>
      <c r="H76" s="252"/>
      <c r="I76" s="255"/>
      <c r="J76" s="256">
        <f>+SUBTOTAL(9,J77)</f>
        <v>24095.7</v>
      </c>
      <c r="K76" s="261"/>
      <c r="L76" s="262"/>
      <c r="M76" s="279">
        <f>M77</f>
        <v>-2315.8607999999999</v>
      </c>
      <c r="N76" s="280"/>
      <c r="O76" s="262"/>
      <c r="P76" s="279">
        <f>P77</f>
        <v>21779.846999999998</v>
      </c>
      <c r="Q76" s="237">
        <f t="shared" si="5"/>
        <v>0</v>
      </c>
      <c r="AA76" s="121"/>
      <c r="AB76" s="194"/>
    </row>
    <row r="77" spans="2:28" s="121" customFormat="1" ht="16.5" customHeight="1" x14ac:dyDescent="0.2">
      <c r="B77" s="120"/>
      <c r="C77" s="56" t="s">
        <v>270</v>
      </c>
      <c r="D77" s="56" t="s">
        <v>96</v>
      </c>
      <c r="E77" s="57" t="s">
        <v>415</v>
      </c>
      <c r="F77" s="58" t="s">
        <v>416</v>
      </c>
      <c r="G77" s="59" t="s">
        <v>201</v>
      </c>
      <c r="H77" s="60">
        <v>210.59</v>
      </c>
      <c r="I77" s="61">
        <v>114.42</v>
      </c>
      <c r="J77" s="60">
        <v>24095.7</v>
      </c>
      <c r="K77" s="68">
        <f t="shared" ref="K77" si="10">ROUND(69.5/76.5*Q77-Q77,2)</f>
        <v>-20.239999999999998</v>
      </c>
      <c r="L77" s="69">
        <f t="shared" si="0"/>
        <v>114.42</v>
      </c>
      <c r="M77" s="273">
        <f t="shared" si="1"/>
        <v>-2315.8607999999999</v>
      </c>
      <c r="N77" s="71">
        <f t="shared" si="2"/>
        <v>190.35</v>
      </c>
      <c r="O77" s="72">
        <f t="shared" si="3"/>
        <v>114.42</v>
      </c>
      <c r="P77" s="274">
        <f t="shared" si="4"/>
        <v>21779.846999999998</v>
      </c>
      <c r="Q77" s="237">
        <f t="shared" si="5"/>
        <v>221.14</v>
      </c>
      <c r="AB77" s="194"/>
    </row>
    <row r="78" spans="2:28" s="121" customFormat="1" ht="6.95" customHeight="1" x14ac:dyDescent="0.2">
      <c r="B78" s="120"/>
      <c r="C78" s="120"/>
      <c r="D78" s="120"/>
      <c r="E78" s="120"/>
      <c r="F78" s="120"/>
      <c r="G78" s="120"/>
      <c r="H78" s="120"/>
      <c r="I78" s="153"/>
      <c r="J78" s="120"/>
    </row>
    <row r="79" spans="2:28" ht="18" customHeight="1" x14ac:dyDescent="0.2">
      <c r="D79" s="42"/>
      <c r="E79" s="43" t="s">
        <v>885</v>
      </c>
      <c r="F79" s="44"/>
      <c r="G79" s="44"/>
      <c r="H79" s="45"/>
      <c r="I79" s="44"/>
      <c r="J79" s="46">
        <f>ROUND(SUBTOTAL(9,J12:J77),2)</f>
        <v>789569.2</v>
      </c>
      <c r="K79" s="49"/>
      <c r="L79" s="46"/>
      <c r="M79" s="281">
        <f>M76+M72+M69+M48+M42+M39+M36+M14</f>
        <v>-47142.855899999995</v>
      </c>
      <c r="N79" s="281"/>
      <c r="O79" s="281"/>
      <c r="P79" s="281">
        <f t="shared" ref="P79" si="11">P76+P72+P69+P48+P42+P39+P36+P14</f>
        <v>742425.7675999999</v>
      </c>
    </row>
    <row r="80" spans="2:28" ht="12.75" x14ac:dyDescent="0.2">
      <c r="H80" s="50"/>
      <c r="I80" s="8"/>
      <c r="J80" s="9"/>
    </row>
    <row r="81" spans="5:11" ht="14.25" x14ac:dyDescent="0.2">
      <c r="E81" s="6" t="s">
        <v>849</v>
      </c>
      <c r="F81" s="6"/>
      <c r="G81" s="320" t="s">
        <v>1224</v>
      </c>
      <c r="H81" s="50"/>
      <c r="I81" s="8"/>
      <c r="J81" s="6"/>
      <c r="K81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D9:H10" name="Oblast1_2_1"/>
  </protectedRanges>
  <autoFilter ref="C10:P77" xr:uid="{00000000-0001-0000-0A00-000000000000}"/>
  <mergeCells count="5">
    <mergeCell ref="AB55:AB56"/>
    <mergeCell ref="Z55:Z56"/>
    <mergeCell ref="AA55:AA56"/>
    <mergeCell ref="K9:M9"/>
    <mergeCell ref="N9:P9"/>
  </mergeCells>
  <pageMargins left="0.39370078740157483" right="0.39370078740157483" top="0.39370078740157483" bottom="0.39370078740157483" header="0" footer="0"/>
  <pageSetup paperSize="9" scale="61" fitToHeight="0" orientation="landscape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  <pageSetUpPr fitToPage="1"/>
  </sheetPr>
  <dimension ref="A1:AF125"/>
  <sheetViews>
    <sheetView showGridLines="0" view="pageBreakPreview" topLeftCell="A84" zoomScale="85" zoomScaleNormal="85" zoomScaleSheetLayoutView="85" workbookViewId="0">
      <selection activeCell="I110" sqref="I110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6" width="19.6640625" style="8" customWidth="1"/>
    <col min="17" max="17" width="16.83203125" style="8" customWidth="1"/>
    <col min="18" max="18" width="52.6640625" style="8" bestFit="1" customWidth="1"/>
    <col min="19" max="19" width="52.1640625" style="8" bestFit="1" customWidth="1"/>
    <col min="20" max="20" width="55.5" style="8" bestFit="1" customWidth="1"/>
    <col min="21" max="21" width="39.83203125" style="8" bestFit="1" customWidth="1"/>
    <col min="22" max="22" width="28.1640625" style="8" bestFit="1" customWidth="1"/>
    <col min="23" max="23" width="23.6640625" style="8" bestFit="1" customWidth="1"/>
    <col min="24" max="24" width="22" style="8" bestFit="1" customWidth="1"/>
    <col min="25" max="25" width="26.1640625" style="8" bestFit="1" customWidth="1"/>
    <col min="26" max="26" width="24.83203125" style="8" bestFit="1" customWidth="1"/>
    <col min="27" max="27" width="9.1640625" style="8" bestFit="1" customWidth="1"/>
    <col min="28" max="28" width="12" style="8" bestFit="1" customWidth="1"/>
    <col min="29" max="29" width="59.83203125" style="8" bestFit="1" customWidth="1"/>
    <col min="30" max="30" width="82.83203125" style="213" bestFit="1" customWidth="1"/>
    <col min="31" max="31" width="3.33203125" style="8" bestFit="1" customWidth="1"/>
    <col min="32" max="16384" width="9.33203125" style="8"/>
  </cols>
  <sheetData>
    <row r="1" spans="1:31" ht="15" x14ac:dyDescent="0.2">
      <c r="F1" s="11"/>
      <c r="G1" s="89"/>
      <c r="H1" s="88"/>
      <c r="I1" s="8"/>
      <c r="J1" s="9"/>
    </row>
    <row r="2" spans="1:31" s="88" customFormat="1" ht="15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  <c r="AD2" s="214"/>
    </row>
    <row r="3" spans="1:31" s="88" customFormat="1" ht="15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  <c r="AD3" s="214"/>
    </row>
    <row r="4" spans="1:31" s="13" customFormat="1" ht="15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  <c r="AD4" s="215"/>
    </row>
    <row r="5" spans="1:31" s="13" customFormat="1" ht="15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  <c r="AD5" s="215"/>
    </row>
    <row r="6" spans="1:31" s="13" customFormat="1" ht="15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  <c r="AD6" s="215"/>
    </row>
    <row r="7" spans="1:31" s="13" customFormat="1" ht="15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  <c r="AD7" s="215"/>
    </row>
    <row r="8" spans="1:31" s="14" customFormat="1" ht="12.75" x14ac:dyDescent="0.2">
      <c r="D8" s="146"/>
      <c r="F8" s="11"/>
      <c r="G8" s="105"/>
      <c r="H8" s="145"/>
      <c r="K8" s="149" t="s">
        <v>851</v>
      </c>
      <c r="L8" s="150" t="str">
        <f>+C12</f>
        <v>B - Stoka B</v>
      </c>
      <c r="M8" s="150"/>
      <c r="O8" s="151"/>
      <c r="AD8" s="216"/>
      <c r="AE8" s="228"/>
    </row>
    <row r="9" spans="1:31" s="15" customFormat="1" ht="12.75" customHeight="1" x14ac:dyDescent="0.2">
      <c r="C9" s="174"/>
      <c r="D9" s="176"/>
      <c r="E9" s="176"/>
      <c r="F9" s="176"/>
      <c r="G9" s="176"/>
      <c r="H9" s="176"/>
      <c r="I9" s="177"/>
      <c r="J9" s="178"/>
      <c r="K9" s="339" t="s">
        <v>1208</v>
      </c>
      <c r="L9" s="339"/>
      <c r="M9" s="340"/>
      <c r="N9" s="341" t="s">
        <v>1215</v>
      </c>
      <c r="O9" s="341"/>
      <c r="P9" s="342"/>
      <c r="AD9" s="217"/>
    </row>
    <row r="10" spans="1:31" s="15" customFormat="1" ht="12.75" x14ac:dyDescent="0.2">
      <c r="C10" s="16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189"/>
      <c r="R10" s="189" t="s">
        <v>935</v>
      </c>
      <c r="U10" s="189" t="s">
        <v>976</v>
      </c>
      <c r="V10" s="189" t="s">
        <v>990</v>
      </c>
      <c r="X10" s="189" t="s">
        <v>1003</v>
      </c>
      <c r="Y10" s="189" t="s">
        <v>1051</v>
      </c>
      <c r="AD10" s="217"/>
    </row>
    <row r="11" spans="1:31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  <c r="AD11" s="217"/>
    </row>
    <row r="12" spans="1:31" s="121" customFormat="1" ht="15.75" x14ac:dyDescent="0.25">
      <c r="B12" s="120"/>
      <c r="C12" s="152" t="s">
        <v>450</v>
      </c>
      <c r="D12" s="120"/>
      <c r="E12" s="120"/>
      <c r="F12" s="120"/>
      <c r="G12" s="120"/>
      <c r="H12" s="120"/>
      <c r="I12" s="153"/>
      <c r="J12" s="154">
        <f>+SUBTOTAL(9,J13:J121)</f>
        <v>10563026.900000002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  <c r="AC12" s="334" t="s">
        <v>1196</v>
      </c>
      <c r="AD12" s="191"/>
      <c r="AE12" s="185"/>
    </row>
    <row r="13" spans="1:31" s="170" customFormat="1" ht="15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+SUBTOTAL(9,J14:J121)</f>
        <v>10563026.900000002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  <c r="AC13" s="334"/>
      <c r="AD13" s="218"/>
      <c r="AE13" s="187"/>
    </row>
    <row r="14" spans="1:31" s="170" customFormat="1" ht="33.75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+SUBTOTAL(9,J15:J47)</f>
        <v>5070849.8000000007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/>
      <c r="N14" s="278" t="str">
        <f>IF(ISBLANK(H14),"",H14-K14)</f>
        <v/>
      </c>
      <c r="O14" s="272" t="str">
        <f>IF(ISBLANK(H14),"",J14-L14)</f>
        <v/>
      </c>
      <c r="P14" s="272">
        <f>SUM(P15:P47)</f>
        <v>5073448.2791000018</v>
      </c>
      <c r="Q14" s="218" t="s">
        <v>1216</v>
      </c>
      <c r="AC14" s="334"/>
      <c r="AD14" s="218"/>
      <c r="AE14" s="187"/>
    </row>
    <row r="15" spans="1:31" s="121" customFormat="1" ht="12" x14ac:dyDescent="0.2">
      <c r="A15" s="121">
        <f>I15*K15</f>
        <v>116.09440000000001</v>
      </c>
      <c r="B15" s="120"/>
      <c r="C15" s="56" t="s">
        <v>8</v>
      </c>
      <c r="D15" s="56" t="s">
        <v>96</v>
      </c>
      <c r="E15" s="57" t="s">
        <v>451</v>
      </c>
      <c r="F15" s="58" t="s">
        <v>452</v>
      </c>
      <c r="G15" s="59" t="s">
        <v>99</v>
      </c>
      <c r="H15" s="60">
        <v>40</v>
      </c>
      <c r="I15" s="61">
        <v>5804.72</v>
      </c>
      <c r="J15" s="60">
        <v>232188.79999999999</v>
      </c>
      <c r="K15" s="68">
        <v>0.02</v>
      </c>
      <c r="L15" s="69">
        <f>I15</f>
        <v>5804.72</v>
      </c>
      <c r="M15" s="273">
        <f>K15*L15</f>
        <v>116.09440000000001</v>
      </c>
      <c r="N15" s="71">
        <f>K15+H15</f>
        <v>40.020000000000003</v>
      </c>
      <c r="O15" s="72">
        <f>I15</f>
        <v>5804.72</v>
      </c>
      <c r="P15" s="274">
        <f>N15*O15</f>
        <v>232304.89440000002</v>
      </c>
      <c r="Q15" s="237">
        <f>ROUND(1012/956.5*H15,2)</f>
        <v>42.32</v>
      </c>
      <c r="R15" s="185"/>
      <c r="S15" s="185"/>
      <c r="AA15" s="121">
        <f t="shared" ref="AA15:AA46" si="0">0.05*H15</f>
        <v>2</v>
      </c>
      <c r="AB15" s="194">
        <f>N15-AA15</f>
        <v>38.020000000000003</v>
      </c>
      <c r="AD15" s="191"/>
      <c r="AE15" s="185"/>
    </row>
    <row r="16" spans="1:31" s="121" customFormat="1" ht="12" x14ac:dyDescent="0.2">
      <c r="A16" s="121">
        <f t="shared" ref="A16:A79" si="1">I16*K16</f>
        <v>86.015500000000003</v>
      </c>
      <c r="B16" s="120"/>
      <c r="C16" s="56" t="s">
        <v>13</v>
      </c>
      <c r="D16" s="56" t="s">
        <v>96</v>
      </c>
      <c r="E16" s="57" t="s">
        <v>101</v>
      </c>
      <c r="F16" s="58" t="s">
        <v>102</v>
      </c>
      <c r="G16" s="59" t="s">
        <v>99</v>
      </c>
      <c r="H16" s="60">
        <v>90</v>
      </c>
      <c r="I16" s="61">
        <v>1720.31</v>
      </c>
      <c r="J16" s="60">
        <v>154827.9</v>
      </c>
      <c r="K16" s="68">
        <v>0.05</v>
      </c>
      <c r="L16" s="69">
        <f t="shared" ref="L16:L79" si="2">I16</f>
        <v>1720.31</v>
      </c>
      <c r="M16" s="273">
        <f t="shared" ref="M16:M79" si="3">K16*L16</f>
        <v>86.015500000000003</v>
      </c>
      <c r="N16" s="71">
        <f t="shared" ref="N16:N79" si="4">K16+H16</f>
        <v>90.05</v>
      </c>
      <c r="O16" s="72">
        <f t="shared" ref="O16:O79" si="5">I16</f>
        <v>1720.31</v>
      </c>
      <c r="P16" s="274">
        <f t="shared" ref="P16:P79" si="6">N16*O16</f>
        <v>154913.9155</v>
      </c>
      <c r="Q16" s="237">
        <f t="shared" ref="Q16:Q77" si="7">ROUND(1012/956.5*H16,2)</f>
        <v>95.22</v>
      </c>
      <c r="R16" s="185"/>
      <c r="S16" s="185"/>
      <c r="AA16" s="121">
        <f t="shared" si="0"/>
        <v>4.5</v>
      </c>
      <c r="AB16" s="194">
        <f t="shared" ref="AB16:AB79" si="8">N16-AA16</f>
        <v>85.55</v>
      </c>
      <c r="AC16" s="185"/>
      <c r="AD16" s="191"/>
      <c r="AE16" s="185"/>
    </row>
    <row r="17" spans="1:32" s="121" customFormat="1" ht="12" x14ac:dyDescent="0.2">
      <c r="A17" s="121">
        <f t="shared" si="1"/>
        <v>81.701400000000007</v>
      </c>
      <c r="B17" s="120"/>
      <c r="C17" s="56" t="s">
        <v>100</v>
      </c>
      <c r="D17" s="56" t="s">
        <v>96</v>
      </c>
      <c r="E17" s="57" t="s">
        <v>103</v>
      </c>
      <c r="F17" s="58" t="s">
        <v>104</v>
      </c>
      <c r="G17" s="59" t="s">
        <v>99</v>
      </c>
      <c r="H17" s="60">
        <v>45</v>
      </c>
      <c r="I17" s="61">
        <v>4085.07</v>
      </c>
      <c r="J17" s="60">
        <v>183828.2</v>
      </c>
      <c r="K17" s="68">
        <v>0.02</v>
      </c>
      <c r="L17" s="69">
        <f t="shared" si="2"/>
        <v>4085.07</v>
      </c>
      <c r="M17" s="273">
        <f t="shared" si="3"/>
        <v>81.701400000000007</v>
      </c>
      <c r="N17" s="71">
        <f t="shared" si="4"/>
        <v>45.02</v>
      </c>
      <c r="O17" s="72">
        <f t="shared" si="5"/>
        <v>4085.07</v>
      </c>
      <c r="P17" s="274">
        <f t="shared" si="6"/>
        <v>183909.85140000001</v>
      </c>
      <c r="Q17" s="237">
        <f t="shared" si="7"/>
        <v>47.61</v>
      </c>
      <c r="R17" s="185"/>
      <c r="S17" s="185"/>
      <c r="AA17" s="121">
        <f t="shared" si="0"/>
        <v>2.25</v>
      </c>
      <c r="AB17" s="194">
        <f t="shared" si="8"/>
        <v>42.77</v>
      </c>
      <c r="AC17" s="185"/>
      <c r="AD17" s="191"/>
      <c r="AE17" s="185"/>
    </row>
    <row r="18" spans="1:32" s="121" customFormat="1" ht="12" x14ac:dyDescent="0.2">
      <c r="A18" s="121">
        <f t="shared" si="1"/>
        <v>12.231</v>
      </c>
      <c r="B18" s="120"/>
      <c r="C18" s="56" t="s">
        <v>105</v>
      </c>
      <c r="D18" s="56" t="s">
        <v>96</v>
      </c>
      <c r="E18" s="57" t="s">
        <v>116</v>
      </c>
      <c r="F18" s="58" t="s">
        <v>117</v>
      </c>
      <c r="G18" s="59" t="s">
        <v>108</v>
      </c>
      <c r="H18" s="60">
        <v>565.88</v>
      </c>
      <c r="I18" s="61">
        <v>40.770000000000003</v>
      </c>
      <c r="J18" s="60">
        <v>23070.9</v>
      </c>
      <c r="K18" s="68">
        <v>0.3</v>
      </c>
      <c r="L18" s="69">
        <f t="shared" si="2"/>
        <v>40.770000000000003</v>
      </c>
      <c r="M18" s="273">
        <f t="shared" si="3"/>
        <v>12.231</v>
      </c>
      <c r="N18" s="71">
        <f t="shared" si="4"/>
        <v>566.17999999999995</v>
      </c>
      <c r="O18" s="72">
        <f t="shared" si="5"/>
        <v>40.770000000000003</v>
      </c>
      <c r="P18" s="274">
        <f t="shared" si="6"/>
        <v>23083.158599999999</v>
      </c>
      <c r="Q18" s="237">
        <f t="shared" si="7"/>
        <v>598.71</v>
      </c>
      <c r="R18" s="185"/>
      <c r="S18" s="185"/>
      <c r="AA18" s="121">
        <f t="shared" si="0"/>
        <v>28.294</v>
      </c>
      <c r="AB18" s="194">
        <f t="shared" si="8"/>
        <v>537.88599999999997</v>
      </c>
      <c r="AC18" s="338"/>
      <c r="AD18" s="333"/>
      <c r="AE18" s="338"/>
    </row>
    <row r="19" spans="1:32" s="121" customFormat="1" ht="12" x14ac:dyDescent="0.2">
      <c r="A19" s="121">
        <f t="shared" si="1"/>
        <v>8.0879999999999992</v>
      </c>
      <c r="B19" s="120"/>
      <c r="C19" s="56" t="s">
        <v>109</v>
      </c>
      <c r="D19" s="56" t="s">
        <v>96</v>
      </c>
      <c r="E19" s="57" t="s">
        <v>119</v>
      </c>
      <c r="F19" s="58" t="s">
        <v>120</v>
      </c>
      <c r="G19" s="59" t="s">
        <v>108</v>
      </c>
      <c r="H19" s="60">
        <v>278.77999999999997</v>
      </c>
      <c r="I19" s="61">
        <v>53.92</v>
      </c>
      <c r="J19" s="60">
        <v>15031.8</v>
      </c>
      <c r="K19" s="68">
        <v>0.15</v>
      </c>
      <c r="L19" s="69">
        <f t="shared" si="2"/>
        <v>53.92</v>
      </c>
      <c r="M19" s="273">
        <f t="shared" si="3"/>
        <v>8.0879999999999992</v>
      </c>
      <c r="N19" s="71">
        <f t="shared" si="4"/>
        <v>278.92999999999995</v>
      </c>
      <c r="O19" s="72">
        <f t="shared" si="5"/>
        <v>53.92</v>
      </c>
      <c r="P19" s="274">
        <f t="shared" si="6"/>
        <v>15039.905599999998</v>
      </c>
      <c r="Q19" s="237">
        <f t="shared" si="7"/>
        <v>294.95999999999998</v>
      </c>
      <c r="R19" s="185"/>
      <c r="S19" s="185"/>
      <c r="AA19" s="121">
        <f t="shared" si="0"/>
        <v>13.939</v>
      </c>
      <c r="AB19" s="194">
        <f t="shared" si="8"/>
        <v>264.99099999999993</v>
      </c>
      <c r="AC19" s="338"/>
      <c r="AD19" s="333"/>
      <c r="AE19" s="338"/>
    </row>
    <row r="20" spans="1:32" s="121" customFormat="1" ht="12" x14ac:dyDescent="0.2">
      <c r="A20" s="121">
        <f t="shared" si="1"/>
        <v>0</v>
      </c>
      <c r="B20" s="120"/>
      <c r="C20" s="56" t="s">
        <v>112</v>
      </c>
      <c r="D20" s="56" t="s">
        <v>96</v>
      </c>
      <c r="E20" s="57" t="s">
        <v>125</v>
      </c>
      <c r="F20" s="58" t="s">
        <v>126</v>
      </c>
      <c r="G20" s="59" t="s">
        <v>108</v>
      </c>
      <c r="H20" s="60">
        <v>548.1</v>
      </c>
      <c r="I20" s="61">
        <v>55.24</v>
      </c>
      <c r="J20" s="60">
        <v>30277</v>
      </c>
      <c r="K20" s="68">
        <v>0</v>
      </c>
      <c r="L20" s="69">
        <f t="shared" si="2"/>
        <v>55.24</v>
      </c>
      <c r="M20" s="273">
        <f t="shared" si="3"/>
        <v>0</v>
      </c>
      <c r="N20" s="71">
        <f t="shared" si="4"/>
        <v>548.1</v>
      </c>
      <c r="O20" s="72">
        <f t="shared" si="5"/>
        <v>55.24</v>
      </c>
      <c r="P20" s="274">
        <f t="shared" si="6"/>
        <v>30277.044000000002</v>
      </c>
      <c r="Q20" s="237">
        <f t="shared" si="7"/>
        <v>579.9</v>
      </c>
      <c r="R20" s="185"/>
      <c r="S20" s="185"/>
      <c r="AA20" s="121">
        <f t="shared" si="0"/>
        <v>27.405000000000001</v>
      </c>
      <c r="AB20" s="194">
        <f t="shared" si="8"/>
        <v>520.69500000000005</v>
      </c>
      <c r="AC20" s="185"/>
      <c r="AD20" s="191"/>
      <c r="AE20" s="185"/>
    </row>
    <row r="21" spans="1:32" s="121" customFormat="1" ht="12" x14ac:dyDescent="0.2">
      <c r="A21" s="121">
        <f t="shared" si="1"/>
        <v>0</v>
      </c>
      <c r="B21" s="120"/>
      <c r="C21" s="56" t="s">
        <v>115</v>
      </c>
      <c r="D21" s="56" t="s">
        <v>96</v>
      </c>
      <c r="E21" s="57" t="s">
        <v>128</v>
      </c>
      <c r="F21" s="58" t="s">
        <v>129</v>
      </c>
      <c r="G21" s="59" t="s">
        <v>108</v>
      </c>
      <c r="H21" s="60">
        <v>287.10000000000002</v>
      </c>
      <c r="I21" s="61">
        <v>98.64</v>
      </c>
      <c r="J21" s="60">
        <v>28319.5</v>
      </c>
      <c r="K21" s="68">
        <v>0</v>
      </c>
      <c r="L21" s="69">
        <f t="shared" si="2"/>
        <v>98.64</v>
      </c>
      <c r="M21" s="273">
        <f t="shared" si="3"/>
        <v>0</v>
      </c>
      <c r="N21" s="71">
        <f t="shared" si="4"/>
        <v>287.10000000000002</v>
      </c>
      <c r="O21" s="72">
        <f t="shared" si="5"/>
        <v>98.64</v>
      </c>
      <c r="P21" s="274">
        <f t="shared" si="6"/>
        <v>28319.544000000002</v>
      </c>
      <c r="Q21" s="237">
        <f t="shared" si="7"/>
        <v>303.76</v>
      </c>
      <c r="R21" s="185"/>
      <c r="S21" s="185"/>
      <c r="AA21" s="121">
        <f t="shared" si="0"/>
        <v>14.355000000000002</v>
      </c>
      <c r="AB21" s="194">
        <f t="shared" si="8"/>
        <v>272.745</v>
      </c>
      <c r="AC21" s="185"/>
      <c r="AD21" s="191"/>
      <c r="AE21" s="185"/>
    </row>
    <row r="22" spans="1:32" s="121" customFormat="1" ht="12" x14ac:dyDescent="0.2">
      <c r="A22" s="121">
        <f t="shared" si="1"/>
        <v>23.937000000000001</v>
      </c>
      <c r="B22" s="120"/>
      <c r="C22" s="56" t="s">
        <v>118</v>
      </c>
      <c r="D22" s="56" t="s">
        <v>96</v>
      </c>
      <c r="E22" s="57" t="s">
        <v>131</v>
      </c>
      <c r="F22" s="58" t="s">
        <v>132</v>
      </c>
      <c r="G22" s="59" t="s">
        <v>133</v>
      </c>
      <c r="H22" s="60">
        <v>100</v>
      </c>
      <c r="I22" s="61">
        <v>478.74</v>
      </c>
      <c r="J22" s="60">
        <v>47874</v>
      </c>
      <c r="K22" s="68">
        <v>0.05</v>
      </c>
      <c r="L22" s="69">
        <f t="shared" si="2"/>
        <v>478.74</v>
      </c>
      <c r="M22" s="273">
        <f t="shared" si="3"/>
        <v>23.937000000000001</v>
      </c>
      <c r="N22" s="71">
        <f t="shared" si="4"/>
        <v>100.05</v>
      </c>
      <c r="O22" s="72">
        <f t="shared" si="5"/>
        <v>478.74</v>
      </c>
      <c r="P22" s="274">
        <f t="shared" si="6"/>
        <v>47897.936999999998</v>
      </c>
      <c r="Q22" s="237">
        <f t="shared" si="7"/>
        <v>105.8</v>
      </c>
      <c r="R22" s="185"/>
      <c r="S22" s="185"/>
      <c r="AA22" s="121">
        <f t="shared" si="0"/>
        <v>5</v>
      </c>
      <c r="AB22" s="194">
        <f t="shared" si="8"/>
        <v>95.05</v>
      </c>
      <c r="AC22" s="338"/>
      <c r="AD22" s="191"/>
      <c r="AE22" s="185"/>
    </row>
    <row r="23" spans="1:32" s="121" customFormat="1" ht="12" x14ac:dyDescent="0.2">
      <c r="A23" s="121">
        <f t="shared" si="1"/>
        <v>15.782500000000001</v>
      </c>
      <c r="B23" s="120"/>
      <c r="C23" s="56" t="s">
        <v>121</v>
      </c>
      <c r="D23" s="56" t="s">
        <v>96</v>
      </c>
      <c r="E23" s="57" t="s">
        <v>135</v>
      </c>
      <c r="F23" s="58" t="s">
        <v>136</v>
      </c>
      <c r="G23" s="59" t="s">
        <v>137</v>
      </c>
      <c r="H23" s="60">
        <v>480</v>
      </c>
      <c r="I23" s="61">
        <v>63.13</v>
      </c>
      <c r="J23" s="60">
        <v>30302.400000000001</v>
      </c>
      <c r="K23" s="68">
        <v>0.25</v>
      </c>
      <c r="L23" s="69">
        <f t="shared" si="2"/>
        <v>63.13</v>
      </c>
      <c r="M23" s="273">
        <f t="shared" si="3"/>
        <v>15.782500000000001</v>
      </c>
      <c r="N23" s="71">
        <f t="shared" si="4"/>
        <v>480.25</v>
      </c>
      <c r="O23" s="72">
        <f t="shared" si="5"/>
        <v>63.13</v>
      </c>
      <c r="P23" s="274">
        <f t="shared" si="6"/>
        <v>30318.182500000003</v>
      </c>
      <c r="Q23" s="237">
        <f t="shared" si="7"/>
        <v>507.85</v>
      </c>
      <c r="R23" s="185"/>
      <c r="S23" s="185"/>
      <c r="AA23" s="121">
        <f t="shared" si="0"/>
        <v>24</v>
      </c>
      <c r="AB23" s="194">
        <f t="shared" si="8"/>
        <v>456.25</v>
      </c>
      <c r="AC23" s="338"/>
      <c r="AD23" s="191"/>
      <c r="AE23" s="185"/>
    </row>
    <row r="24" spans="1:32" s="121" customFormat="1" ht="12" x14ac:dyDescent="0.2">
      <c r="A24" s="121">
        <f t="shared" si="1"/>
        <v>5.8790999999999993</v>
      </c>
      <c r="B24" s="120"/>
      <c r="C24" s="56" t="s">
        <v>124</v>
      </c>
      <c r="D24" s="56" t="s">
        <v>96</v>
      </c>
      <c r="E24" s="57" t="s">
        <v>138</v>
      </c>
      <c r="F24" s="58" t="s">
        <v>139</v>
      </c>
      <c r="G24" s="59" t="s">
        <v>140</v>
      </c>
      <c r="H24" s="60">
        <v>60</v>
      </c>
      <c r="I24" s="61">
        <v>195.97</v>
      </c>
      <c r="J24" s="60">
        <v>11758.2</v>
      </c>
      <c r="K24" s="68">
        <v>0.03</v>
      </c>
      <c r="L24" s="69">
        <f t="shared" si="2"/>
        <v>195.97</v>
      </c>
      <c r="M24" s="273">
        <f t="shared" si="3"/>
        <v>5.8790999999999993</v>
      </c>
      <c r="N24" s="71">
        <f t="shared" si="4"/>
        <v>60.03</v>
      </c>
      <c r="O24" s="72">
        <f t="shared" si="5"/>
        <v>195.97</v>
      </c>
      <c r="P24" s="274">
        <f t="shared" si="6"/>
        <v>11764.079100000001</v>
      </c>
      <c r="Q24" s="237">
        <f t="shared" si="7"/>
        <v>63.48</v>
      </c>
      <c r="R24" s="185"/>
      <c r="S24" s="185"/>
      <c r="AA24" s="121">
        <f t="shared" si="0"/>
        <v>3</v>
      </c>
      <c r="AB24" s="194">
        <f t="shared" si="8"/>
        <v>57.03</v>
      </c>
      <c r="AC24" s="338"/>
      <c r="AD24" s="191"/>
    </row>
    <row r="25" spans="1:32" s="121" customFormat="1" ht="12" x14ac:dyDescent="0.2">
      <c r="A25" s="121">
        <f t="shared" si="1"/>
        <v>1.7098</v>
      </c>
      <c r="B25" s="120"/>
      <c r="C25" s="56" t="s">
        <v>127</v>
      </c>
      <c r="D25" s="56" t="s">
        <v>96</v>
      </c>
      <c r="E25" s="57" t="s">
        <v>142</v>
      </c>
      <c r="F25" s="58" t="s">
        <v>143</v>
      </c>
      <c r="G25" s="59" t="s">
        <v>133</v>
      </c>
      <c r="H25" s="60">
        <v>18.7</v>
      </c>
      <c r="I25" s="61">
        <v>170.98</v>
      </c>
      <c r="J25" s="60">
        <v>3197.3</v>
      </c>
      <c r="K25" s="68">
        <v>0.01</v>
      </c>
      <c r="L25" s="69">
        <f t="shared" si="2"/>
        <v>170.98</v>
      </c>
      <c r="M25" s="273">
        <f t="shared" si="3"/>
        <v>1.7098</v>
      </c>
      <c r="N25" s="71">
        <f t="shared" si="4"/>
        <v>18.71</v>
      </c>
      <c r="O25" s="72">
        <f t="shared" si="5"/>
        <v>170.98</v>
      </c>
      <c r="P25" s="274">
        <f t="shared" si="6"/>
        <v>3199.0358000000001</v>
      </c>
      <c r="Q25" s="237">
        <f t="shared" si="7"/>
        <v>19.79</v>
      </c>
      <c r="R25" s="192"/>
      <c r="S25" s="185"/>
      <c r="AA25" s="121">
        <f t="shared" si="0"/>
        <v>0.93500000000000005</v>
      </c>
      <c r="AB25" s="194">
        <f t="shared" si="8"/>
        <v>17.775000000000002</v>
      </c>
      <c r="AC25" s="188"/>
      <c r="AD25" s="191"/>
    </row>
    <row r="26" spans="1:32" s="121" customFormat="1" ht="12" x14ac:dyDescent="0.2">
      <c r="A26" s="121">
        <f t="shared" si="1"/>
        <v>1.4730000000000001</v>
      </c>
      <c r="B26" s="120"/>
      <c r="C26" s="56" t="s">
        <v>130</v>
      </c>
      <c r="D26" s="56" t="s">
        <v>96</v>
      </c>
      <c r="E26" s="57" t="s">
        <v>145</v>
      </c>
      <c r="F26" s="58" t="s">
        <v>146</v>
      </c>
      <c r="G26" s="59" t="s">
        <v>133</v>
      </c>
      <c r="H26" s="60">
        <v>19.8</v>
      </c>
      <c r="I26" s="61">
        <v>147.30000000000001</v>
      </c>
      <c r="J26" s="60">
        <v>2916.5</v>
      </c>
      <c r="K26" s="68">
        <v>0.01</v>
      </c>
      <c r="L26" s="69">
        <f t="shared" si="2"/>
        <v>147.30000000000001</v>
      </c>
      <c r="M26" s="273">
        <f t="shared" si="3"/>
        <v>1.4730000000000001</v>
      </c>
      <c r="N26" s="71">
        <f t="shared" si="4"/>
        <v>19.810000000000002</v>
      </c>
      <c r="O26" s="72">
        <f t="shared" si="5"/>
        <v>147.30000000000001</v>
      </c>
      <c r="P26" s="274">
        <f t="shared" si="6"/>
        <v>2918.0130000000004</v>
      </c>
      <c r="Q26" s="237">
        <f t="shared" si="7"/>
        <v>20.95</v>
      </c>
      <c r="R26" s="185"/>
      <c r="S26" s="185"/>
      <c r="AA26" s="121">
        <f t="shared" si="0"/>
        <v>0.9900000000000001</v>
      </c>
      <c r="AB26" s="194">
        <f t="shared" si="8"/>
        <v>18.820000000000004</v>
      </c>
      <c r="AC26" s="188"/>
      <c r="AD26" s="191"/>
    </row>
    <row r="27" spans="1:32" s="121" customFormat="1" ht="12" x14ac:dyDescent="0.2">
      <c r="A27" s="121">
        <f t="shared" si="1"/>
        <v>3.4325999999999999</v>
      </c>
      <c r="B27" s="120"/>
      <c r="C27" s="56" t="s">
        <v>134</v>
      </c>
      <c r="D27" s="56" t="s">
        <v>96</v>
      </c>
      <c r="E27" s="57" t="s">
        <v>148</v>
      </c>
      <c r="F27" s="58" t="s">
        <v>149</v>
      </c>
      <c r="G27" s="59" t="s">
        <v>150</v>
      </c>
      <c r="H27" s="60">
        <v>166.72</v>
      </c>
      <c r="I27" s="61">
        <v>38.14</v>
      </c>
      <c r="J27" s="60">
        <v>6358.7</v>
      </c>
      <c r="K27" s="68">
        <v>0.09</v>
      </c>
      <c r="L27" s="69">
        <f t="shared" si="2"/>
        <v>38.14</v>
      </c>
      <c r="M27" s="273">
        <f t="shared" si="3"/>
        <v>3.4325999999999999</v>
      </c>
      <c r="N27" s="71">
        <f t="shared" si="4"/>
        <v>166.81</v>
      </c>
      <c r="O27" s="72">
        <f t="shared" si="5"/>
        <v>38.14</v>
      </c>
      <c r="P27" s="274">
        <f t="shared" si="6"/>
        <v>6362.1334000000006</v>
      </c>
      <c r="Q27" s="237">
        <f t="shared" si="7"/>
        <v>176.39</v>
      </c>
      <c r="R27" s="185"/>
      <c r="S27" s="185"/>
      <c r="Y27" s="210">
        <v>0.05</v>
      </c>
      <c r="Z27" s="121" t="s">
        <v>925</v>
      </c>
      <c r="AA27" s="121">
        <f t="shared" si="0"/>
        <v>8.3360000000000003</v>
      </c>
      <c r="AB27" s="194">
        <f t="shared" si="8"/>
        <v>158.47399999999999</v>
      </c>
      <c r="AC27" s="185"/>
      <c r="AD27" s="191"/>
    </row>
    <row r="28" spans="1:32" s="121" customFormat="1" ht="22.5" x14ac:dyDescent="0.2">
      <c r="A28" s="121">
        <f t="shared" si="1"/>
        <v>2.2883999999999998</v>
      </c>
      <c r="B28" s="120"/>
      <c r="C28" s="56" t="s">
        <v>2</v>
      </c>
      <c r="D28" s="56" t="s">
        <v>96</v>
      </c>
      <c r="E28" s="57" t="s">
        <v>152</v>
      </c>
      <c r="F28" s="58" t="s">
        <v>153</v>
      </c>
      <c r="G28" s="59" t="s">
        <v>108</v>
      </c>
      <c r="H28" s="60">
        <v>115</v>
      </c>
      <c r="I28" s="61">
        <v>38.14</v>
      </c>
      <c r="J28" s="60">
        <v>4386.1000000000004</v>
      </c>
      <c r="K28" s="68">
        <v>0.06</v>
      </c>
      <c r="L28" s="69">
        <f t="shared" si="2"/>
        <v>38.14</v>
      </c>
      <c r="M28" s="273">
        <f t="shared" si="3"/>
        <v>2.2883999999999998</v>
      </c>
      <c r="N28" s="71">
        <f t="shared" si="4"/>
        <v>115.06</v>
      </c>
      <c r="O28" s="72">
        <f t="shared" si="5"/>
        <v>38.14</v>
      </c>
      <c r="P28" s="274">
        <f t="shared" si="6"/>
        <v>4388.3883999999998</v>
      </c>
      <c r="Q28" s="237">
        <f t="shared" si="7"/>
        <v>121.67</v>
      </c>
      <c r="R28" s="185"/>
      <c r="S28" s="185"/>
      <c r="V28" s="190" t="s">
        <v>996</v>
      </c>
      <c r="Y28" s="210">
        <v>0.05</v>
      </c>
      <c r="Z28" s="121" t="s">
        <v>925</v>
      </c>
      <c r="AA28" s="121">
        <f t="shared" si="0"/>
        <v>5.75</v>
      </c>
      <c r="AB28" s="194">
        <f t="shared" si="8"/>
        <v>109.31</v>
      </c>
      <c r="AC28" s="188"/>
      <c r="AD28" s="191"/>
    </row>
    <row r="29" spans="1:32" s="121" customFormat="1" ht="12" x14ac:dyDescent="0.2">
      <c r="A29" s="121">
        <f t="shared" si="1"/>
        <v>20.622399999999999</v>
      </c>
      <c r="B29" s="120"/>
      <c r="C29" s="56" t="s">
        <v>141</v>
      </c>
      <c r="D29" s="56" t="s">
        <v>96</v>
      </c>
      <c r="E29" s="57" t="s">
        <v>155</v>
      </c>
      <c r="F29" s="58" t="s">
        <v>156</v>
      </c>
      <c r="G29" s="59" t="s">
        <v>150</v>
      </c>
      <c r="H29" s="60">
        <v>147.41999999999999</v>
      </c>
      <c r="I29" s="61">
        <v>257.77999999999997</v>
      </c>
      <c r="J29" s="60">
        <v>38001.9</v>
      </c>
      <c r="K29" s="68">
        <v>0.08</v>
      </c>
      <c r="L29" s="69">
        <f t="shared" si="2"/>
        <v>257.77999999999997</v>
      </c>
      <c r="M29" s="273">
        <f t="shared" si="3"/>
        <v>20.622399999999999</v>
      </c>
      <c r="N29" s="71">
        <f t="shared" si="4"/>
        <v>147.5</v>
      </c>
      <c r="O29" s="72">
        <f t="shared" si="5"/>
        <v>257.77999999999997</v>
      </c>
      <c r="P29" s="274">
        <f t="shared" si="6"/>
        <v>38022.549999999996</v>
      </c>
      <c r="Q29" s="237">
        <f t="shared" si="7"/>
        <v>155.97</v>
      </c>
      <c r="R29" s="185"/>
      <c r="S29" s="185"/>
      <c r="AA29" s="121">
        <f t="shared" si="0"/>
        <v>7.3709999999999996</v>
      </c>
      <c r="AB29" s="194">
        <f t="shared" si="8"/>
        <v>140.12899999999999</v>
      </c>
      <c r="AC29" s="185"/>
      <c r="AD29" s="191"/>
    </row>
    <row r="30" spans="1:32" s="121" customFormat="1" ht="12" x14ac:dyDescent="0.2">
      <c r="A30" s="121">
        <f t="shared" si="1"/>
        <v>164.97919999999999</v>
      </c>
      <c r="B30" s="120"/>
      <c r="C30" s="56" t="s">
        <v>144</v>
      </c>
      <c r="D30" s="56" t="s">
        <v>96</v>
      </c>
      <c r="E30" s="57" t="s">
        <v>157</v>
      </c>
      <c r="F30" s="58" t="s">
        <v>158</v>
      </c>
      <c r="G30" s="59" t="s">
        <v>150</v>
      </c>
      <c r="H30" s="60">
        <v>1221.67</v>
      </c>
      <c r="I30" s="61">
        <v>257.77999999999997</v>
      </c>
      <c r="J30" s="60">
        <v>314922.09999999998</v>
      </c>
      <c r="K30" s="68">
        <v>0.64</v>
      </c>
      <c r="L30" s="69">
        <f t="shared" si="2"/>
        <v>257.77999999999997</v>
      </c>
      <c r="M30" s="273">
        <f t="shared" si="3"/>
        <v>164.97919999999999</v>
      </c>
      <c r="N30" s="71">
        <f t="shared" si="4"/>
        <v>1222.3100000000002</v>
      </c>
      <c r="O30" s="72">
        <f t="shared" si="5"/>
        <v>257.77999999999997</v>
      </c>
      <c r="P30" s="274">
        <f t="shared" si="6"/>
        <v>315087.07180000003</v>
      </c>
      <c r="Q30" s="237">
        <f t="shared" si="7"/>
        <v>1292.56</v>
      </c>
      <c r="R30" s="185"/>
      <c r="S30" s="185"/>
      <c r="AA30" s="121">
        <f t="shared" si="0"/>
        <v>61.083500000000008</v>
      </c>
      <c r="AB30" s="194">
        <f t="shared" si="8"/>
        <v>1161.2265000000002</v>
      </c>
      <c r="AC30" s="185"/>
      <c r="AD30" s="191"/>
      <c r="AE30" s="338"/>
      <c r="AF30" s="333"/>
    </row>
    <row r="31" spans="1:32" s="121" customFormat="1" ht="12" x14ac:dyDescent="0.2">
      <c r="A31" s="121">
        <f t="shared" si="1"/>
        <v>2.4984999999999999</v>
      </c>
      <c r="B31" s="120"/>
      <c r="C31" s="56" t="s">
        <v>147</v>
      </c>
      <c r="D31" s="56" t="s">
        <v>96</v>
      </c>
      <c r="E31" s="57" t="s">
        <v>160</v>
      </c>
      <c r="F31" s="58" t="s">
        <v>161</v>
      </c>
      <c r="G31" s="59" t="s">
        <v>150</v>
      </c>
      <c r="H31" s="60">
        <v>366.5</v>
      </c>
      <c r="I31" s="61">
        <v>13.15</v>
      </c>
      <c r="J31" s="60">
        <v>4819.5</v>
      </c>
      <c r="K31" s="68">
        <v>0.19</v>
      </c>
      <c r="L31" s="69">
        <f t="shared" si="2"/>
        <v>13.15</v>
      </c>
      <c r="M31" s="273">
        <f t="shared" si="3"/>
        <v>2.4984999999999999</v>
      </c>
      <c r="N31" s="71">
        <f t="shared" si="4"/>
        <v>366.69</v>
      </c>
      <c r="O31" s="72">
        <f t="shared" si="5"/>
        <v>13.15</v>
      </c>
      <c r="P31" s="274">
        <f t="shared" si="6"/>
        <v>4821.9735000000001</v>
      </c>
      <c r="Q31" s="237">
        <f t="shared" si="7"/>
        <v>387.77</v>
      </c>
      <c r="R31" s="185"/>
      <c r="S31" s="185"/>
      <c r="AA31" s="121">
        <f t="shared" si="0"/>
        <v>18.324999999999999</v>
      </c>
      <c r="AB31" s="194">
        <f t="shared" si="8"/>
        <v>348.36500000000001</v>
      </c>
      <c r="AC31" s="185"/>
      <c r="AD31" s="191"/>
      <c r="AE31" s="338"/>
      <c r="AF31" s="333"/>
    </row>
    <row r="32" spans="1:32" s="121" customFormat="1" ht="12" x14ac:dyDescent="0.2">
      <c r="A32" s="121">
        <f t="shared" si="1"/>
        <v>126.25999999999999</v>
      </c>
      <c r="B32" s="120"/>
      <c r="C32" s="56" t="s">
        <v>151</v>
      </c>
      <c r="D32" s="56" t="s">
        <v>96</v>
      </c>
      <c r="E32" s="57" t="s">
        <v>163</v>
      </c>
      <c r="F32" s="58" t="s">
        <v>164</v>
      </c>
      <c r="G32" s="59" t="s">
        <v>150</v>
      </c>
      <c r="H32" s="60">
        <v>772.32</v>
      </c>
      <c r="I32" s="61">
        <v>315.64999999999998</v>
      </c>
      <c r="J32" s="60">
        <v>243782.8</v>
      </c>
      <c r="K32" s="68">
        <v>0.4</v>
      </c>
      <c r="L32" s="69">
        <f t="shared" si="2"/>
        <v>315.64999999999998</v>
      </c>
      <c r="M32" s="273">
        <f t="shared" si="3"/>
        <v>126.25999999999999</v>
      </c>
      <c r="N32" s="71">
        <f t="shared" si="4"/>
        <v>772.72</v>
      </c>
      <c r="O32" s="72">
        <f t="shared" si="5"/>
        <v>315.64999999999998</v>
      </c>
      <c r="P32" s="274">
        <f t="shared" si="6"/>
        <v>243909.068</v>
      </c>
      <c r="Q32" s="237">
        <f t="shared" si="7"/>
        <v>817.13</v>
      </c>
      <c r="R32" s="185"/>
      <c r="S32" s="185"/>
      <c r="AA32" s="121">
        <f t="shared" si="0"/>
        <v>38.616000000000007</v>
      </c>
      <c r="AB32" s="194">
        <f t="shared" si="8"/>
        <v>734.10400000000004</v>
      </c>
      <c r="AC32" s="185"/>
      <c r="AD32" s="191"/>
      <c r="AE32" s="338"/>
      <c r="AF32" s="333"/>
    </row>
    <row r="33" spans="1:32" s="121" customFormat="1" ht="12" x14ac:dyDescent="0.2">
      <c r="A33" s="121">
        <f t="shared" si="1"/>
        <v>1.8935999999999999</v>
      </c>
      <c r="B33" s="120"/>
      <c r="C33" s="56" t="s">
        <v>154</v>
      </c>
      <c r="D33" s="56" t="s">
        <v>96</v>
      </c>
      <c r="E33" s="57" t="s">
        <v>166</v>
      </c>
      <c r="F33" s="58" t="s">
        <v>167</v>
      </c>
      <c r="G33" s="59" t="s">
        <v>150</v>
      </c>
      <c r="H33" s="60">
        <v>231.7</v>
      </c>
      <c r="I33" s="61">
        <v>15.78</v>
      </c>
      <c r="J33" s="60">
        <v>3656.2</v>
      </c>
      <c r="K33" s="68">
        <v>0.12</v>
      </c>
      <c r="L33" s="69">
        <f t="shared" si="2"/>
        <v>15.78</v>
      </c>
      <c r="M33" s="273">
        <f t="shared" si="3"/>
        <v>1.8935999999999999</v>
      </c>
      <c r="N33" s="71">
        <f t="shared" si="4"/>
        <v>231.82</v>
      </c>
      <c r="O33" s="72">
        <f t="shared" si="5"/>
        <v>15.78</v>
      </c>
      <c r="P33" s="274">
        <f t="shared" si="6"/>
        <v>3658.1195999999995</v>
      </c>
      <c r="Q33" s="237">
        <f t="shared" si="7"/>
        <v>245.14</v>
      </c>
      <c r="R33" s="185"/>
      <c r="S33" s="185"/>
      <c r="AA33" s="121">
        <f t="shared" si="0"/>
        <v>11.585000000000001</v>
      </c>
      <c r="AB33" s="194">
        <f t="shared" si="8"/>
        <v>220.23499999999999</v>
      </c>
      <c r="AC33" s="185"/>
      <c r="AD33" s="191"/>
      <c r="AE33" s="338"/>
      <c r="AF33" s="333"/>
    </row>
    <row r="34" spans="1:32" s="121" customFormat="1" ht="12" x14ac:dyDescent="0.2">
      <c r="A34" s="121">
        <f t="shared" si="1"/>
        <v>33.511600000000001</v>
      </c>
      <c r="B34" s="120"/>
      <c r="C34" s="56" t="s">
        <v>1</v>
      </c>
      <c r="D34" s="56" t="s">
        <v>96</v>
      </c>
      <c r="E34" s="57" t="s">
        <v>169</v>
      </c>
      <c r="F34" s="58" t="s">
        <v>170</v>
      </c>
      <c r="G34" s="59" t="s">
        <v>150</v>
      </c>
      <c r="H34" s="60">
        <v>84.25</v>
      </c>
      <c r="I34" s="61">
        <v>837.79</v>
      </c>
      <c r="J34" s="60">
        <v>70583.8</v>
      </c>
      <c r="K34" s="68">
        <v>0.04</v>
      </c>
      <c r="L34" s="69">
        <f t="shared" si="2"/>
        <v>837.79</v>
      </c>
      <c r="M34" s="273">
        <f t="shared" si="3"/>
        <v>33.511600000000001</v>
      </c>
      <c r="N34" s="71">
        <f t="shared" si="4"/>
        <v>84.29</v>
      </c>
      <c r="O34" s="72">
        <f t="shared" si="5"/>
        <v>837.79</v>
      </c>
      <c r="P34" s="274">
        <f t="shared" si="6"/>
        <v>70617.319100000008</v>
      </c>
      <c r="Q34" s="237">
        <f t="shared" si="7"/>
        <v>89.14</v>
      </c>
      <c r="R34" s="185"/>
      <c r="S34" s="185"/>
      <c r="AA34" s="121">
        <f t="shared" si="0"/>
        <v>4.2125000000000004</v>
      </c>
      <c r="AB34" s="194">
        <f t="shared" si="8"/>
        <v>80.077500000000001</v>
      </c>
      <c r="AC34" s="185"/>
      <c r="AD34" s="191"/>
      <c r="AE34" s="338"/>
      <c r="AF34" s="333"/>
    </row>
    <row r="35" spans="1:32" s="121" customFormat="1" ht="12" x14ac:dyDescent="0.2">
      <c r="A35" s="121">
        <f t="shared" si="1"/>
        <v>424.31559999999996</v>
      </c>
      <c r="B35" s="120"/>
      <c r="C35" s="56" t="s">
        <v>159</v>
      </c>
      <c r="D35" s="56" t="s">
        <v>96</v>
      </c>
      <c r="E35" s="57" t="s">
        <v>172</v>
      </c>
      <c r="F35" s="58" t="s">
        <v>173</v>
      </c>
      <c r="G35" s="59" t="s">
        <v>150</v>
      </c>
      <c r="H35" s="60">
        <v>730.19</v>
      </c>
      <c r="I35" s="61">
        <v>1116.6199999999999</v>
      </c>
      <c r="J35" s="60">
        <v>815344.8</v>
      </c>
      <c r="K35" s="68">
        <v>0.38</v>
      </c>
      <c r="L35" s="69">
        <f t="shared" si="2"/>
        <v>1116.6199999999999</v>
      </c>
      <c r="M35" s="273">
        <f t="shared" si="3"/>
        <v>424.31559999999996</v>
      </c>
      <c r="N35" s="71">
        <f t="shared" si="4"/>
        <v>730.57</v>
      </c>
      <c r="O35" s="72">
        <f t="shared" si="5"/>
        <v>1116.6199999999999</v>
      </c>
      <c r="P35" s="274">
        <f t="shared" si="6"/>
        <v>815769.07339999999</v>
      </c>
      <c r="Q35" s="237">
        <f t="shared" si="7"/>
        <v>772.56</v>
      </c>
      <c r="R35" s="185"/>
      <c r="S35" s="185"/>
      <c r="T35" s="195"/>
      <c r="AA35" s="121">
        <f t="shared" si="0"/>
        <v>36.509500000000003</v>
      </c>
      <c r="AB35" s="194">
        <f t="shared" si="8"/>
        <v>694.06050000000005</v>
      </c>
      <c r="AC35" s="185"/>
      <c r="AD35" s="191"/>
      <c r="AE35" s="338"/>
      <c r="AF35" s="333"/>
    </row>
    <row r="36" spans="1:32" s="121" customFormat="1" ht="12" x14ac:dyDescent="0.2">
      <c r="A36" s="121">
        <f t="shared" si="1"/>
        <v>229.90799999999996</v>
      </c>
      <c r="B36" s="120"/>
      <c r="C36" s="56" t="s">
        <v>162</v>
      </c>
      <c r="D36" s="56" t="s">
        <v>96</v>
      </c>
      <c r="E36" s="57" t="s">
        <v>175</v>
      </c>
      <c r="F36" s="58" t="s">
        <v>176</v>
      </c>
      <c r="G36" s="59" t="s">
        <v>108</v>
      </c>
      <c r="H36" s="60">
        <v>4396.92</v>
      </c>
      <c r="I36" s="61">
        <v>99.96</v>
      </c>
      <c r="J36" s="60">
        <v>439516.1</v>
      </c>
      <c r="K36" s="68">
        <v>2.2999999999999998</v>
      </c>
      <c r="L36" s="69">
        <f t="shared" si="2"/>
        <v>99.96</v>
      </c>
      <c r="M36" s="273">
        <f t="shared" si="3"/>
        <v>229.90799999999996</v>
      </c>
      <c r="N36" s="71">
        <f t="shared" si="4"/>
        <v>4399.22</v>
      </c>
      <c r="O36" s="72">
        <f t="shared" si="5"/>
        <v>99.96</v>
      </c>
      <c r="P36" s="274">
        <f t="shared" si="6"/>
        <v>439746.03120000003</v>
      </c>
      <c r="Q36" s="237">
        <f t="shared" si="7"/>
        <v>4652.05</v>
      </c>
      <c r="R36" s="185"/>
      <c r="S36" s="185"/>
      <c r="AA36" s="121">
        <f t="shared" si="0"/>
        <v>219.846</v>
      </c>
      <c r="AB36" s="194">
        <f t="shared" si="8"/>
        <v>4179.3739999999998</v>
      </c>
      <c r="AC36" s="338"/>
      <c r="AD36" s="333"/>
      <c r="AE36" s="338"/>
      <c r="AF36" s="333"/>
    </row>
    <row r="37" spans="1:32" s="121" customFormat="1" ht="12" x14ac:dyDescent="0.2">
      <c r="A37" s="121">
        <f t="shared" si="1"/>
        <v>344.86199999999997</v>
      </c>
      <c r="B37" s="120"/>
      <c r="C37" s="56" t="s">
        <v>165</v>
      </c>
      <c r="D37" s="56" t="s">
        <v>96</v>
      </c>
      <c r="E37" s="57" t="s">
        <v>181</v>
      </c>
      <c r="F37" s="58" t="s">
        <v>182</v>
      </c>
      <c r="G37" s="59" t="s">
        <v>108</v>
      </c>
      <c r="H37" s="60">
        <v>4396.92</v>
      </c>
      <c r="I37" s="61">
        <v>149.94</v>
      </c>
      <c r="J37" s="60">
        <v>659274.19999999995</v>
      </c>
      <c r="K37" s="68">
        <v>2.2999999999999998</v>
      </c>
      <c r="L37" s="69">
        <f t="shared" si="2"/>
        <v>149.94</v>
      </c>
      <c r="M37" s="273">
        <f t="shared" si="3"/>
        <v>344.86199999999997</v>
      </c>
      <c r="N37" s="71">
        <f t="shared" si="4"/>
        <v>4399.22</v>
      </c>
      <c r="O37" s="72">
        <f t="shared" si="5"/>
        <v>149.94</v>
      </c>
      <c r="P37" s="274">
        <f t="shared" si="6"/>
        <v>659619.04680000001</v>
      </c>
      <c r="Q37" s="237">
        <f t="shared" si="7"/>
        <v>4652.05</v>
      </c>
      <c r="R37" s="185"/>
      <c r="S37" s="185"/>
      <c r="AA37" s="121">
        <f t="shared" si="0"/>
        <v>219.846</v>
      </c>
      <c r="AB37" s="194">
        <f t="shared" si="8"/>
        <v>4179.3739999999998</v>
      </c>
      <c r="AC37" s="338"/>
      <c r="AD37" s="333"/>
      <c r="AE37" s="338"/>
      <c r="AF37" s="333"/>
    </row>
    <row r="38" spans="1:32" s="121" customFormat="1" ht="12" x14ac:dyDescent="0.2">
      <c r="A38" s="121">
        <f t="shared" si="1"/>
        <v>241.71960000000001</v>
      </c>
      <c r="B38" s="120"/>
      <c r="C38" s="56" t="s">
        <v>168</v>
      </c>
      <c r="D38" s="56" t="s">
        <v>96</v>
      </c>
      <c r="E38" s="57" t="s">
        <v>187</v>
      </c>
      <c r="F38" s="58" t="s">
        <v>188</v>
      </c>
      <c r="G38" s="59" t="s">
        <v>150</v>
      </c>
      <c r="H38" s="60">
        <v>4707.03</v>
      </c>
      <c r="I38" s="61">
        <v>98.26</v>
      </c>
      <c r="J38" s="60">
        <v>462512.8</v>
      </c>
      <c r="K38" s="68">
        <v>2.46</v>
      </c>
      <c r="L38" s="69">
        <f t="shared" si="2"/>
        <v>98.26</v>
      </c>
      <c r="M38" s="273">
        <f t="shared" si="3"/>
        <v>241.71960000000001</v>
      </c>
      <c r="N38" s="71">
        <f t="shared" si="4"/>
        <v>4709.49</v>
      </c>
      <c r="O38" s="72">
        <f t="shared" si="5"/>
        <v>98.26</v>
      </c>
      <c r="P38" s="274">
        <f t="shared" si="6"/>
        <v>462754.48739999998</v>
      </c>
      <c r="Q38" s="237">
        <f t="shared" si="7"/>
        <v>4980.1499999999996</v>
      </c>
      <c r="R38" s="185"/>
      <c r="S38" s="185"/>
      <c r="AA38" s="121">
        <f t="shared" si="0"/>
        <v>235.35149999999999</v>
      </c>
      <c r="AB38" s="194">
        <f t="shared" si="8"/>
        <v>4474.1385</v>
      </c>
      <c r="AC38" s="188"/>
      <c r="AD38" s="191"/>
      <c r="AE38" s="188"/>
    </row>
    <row r="39" spans="1:32" s="121" customFormat="1" ht="22.5" x14ac:dyDescent="0.2">
      <c r="A39" s="121">
        <f t="shared" si="1"/>
        <v>126.16889999999999</v>
      </c>
      <c r="B39" s="120"/>
      <c r="C39" s="56" t="s">
        <v>171</v>
      </c>
      <c r="D39" s="56" t="s">
        <v>96</v>
      </c>
      <c r="E39" s="57" t="s">
        <v>190</v>
      </c>
      <c r="F39" s="58" t="s">
        <v>191</v>
      </c>
      <c r="G39" s="59" t="s">
        <v>150</v>
      </c>
      <c r="H39" s="60">
        <v>982.87</v>
      </c>
      <c r="I39" s="61">
        <v>247.39</v>
      </c>
      <c r="J39" s="60">
        <v>243152.2</v>
      </c>
      <c r="K39" s="68">
        <v>0.51</v>
      </c>
      <c r="L39" s="69">
        <f t="shared" si="2"/>
        <v>247.39</v>
      </c>
      <c r="M39" s="273">
        <f t="shared" si="3"/>
        <v>126.16889999999999</v>
      </c>
      <c r="N39" s="71">
        <f t="shared" si="4"/>
        <v>983.38</v>
      </c>
      <c r="O39" s="72">
        <f t="shared" si="5"/>
        <v>247.39</v>
      </c>
      <c r="P39" s="274">
        <f t="shared" si="6"/>
        <v>243278.37819999998</v>
      </c>
      <c r="Q39" s="237">
        <f t="shared" si="7"/>
        <v>1039.9000000000001</v>
      </c>
      <c r="R39" s="186" t="s">
        <v>937</v>
      </c>
      <c r="S39" s="188" t="s">
        <v>950</v>
      </c>
      <c r="T39" s="190" t="s">
        <v>960</v>
      </c>
      <c r="U39" s="191" t="s">
        <v>980</v>
      </c>
      <c r="AA39" s="121">
        <f t="shared" si="0"/>
        <v>49.143500000000003</v>
      </c>
      <c r="AB39" s="194">
        <f t="shared" si="8"/>
        <v>934.23649999999998</v>
      </c>
      <c r="AC39" s="185"/>
      <c r="AD39" s="191"/>
      <c r="AE39" s="185"/>
    </row>
    <row r="40" spans="1:32" s="121" customFormat="1" ht="22.5" x14ac:dyDescent="0.2">
      <c r="A40" s="121">
        <f t="shared" si="1"/>
        <v>22.807199999999998</v>
      </c>
      <c r="B40" s="120"/>
      <c r="C40" s="56" t="s">
        <v>174</v>
      </c>
      <c r="D40" s="56" t="s">
        <v>96</v>
      </c>
      <c r="E40" s="57" t="s">
        <v>193</v>
      </c>
      <c r="F40" s="58" t="s">
        <v>194</v>
      </c>
      <c r="G40" s="59" t="s">
        <v>150</v>
      </c>
      <c r="H40" s="60">
        <v>982.87</v>
      </c>
      <c r="I40" s="61">
        <v>44.72</v>
      </c>
      <c r="J40" s="60">
        <v>43953.9</v>
      </c>
      <c r="K40" s="68">
        <v>0.51</v>
      </c>
      <c r="L40" s="69">
        <f t="shared" si="2"/>
        <v>44.72</v>
      </c>
      <c r="M40" s="273">
        <f t="shared" si="3"/>
        <v>22.807199999999998</v>
      </c>
      <c r="N40" s="71">
        <f t="shared" si="4"/>
        <v>983.38</v>
      </c>
      <c r="O40" s="72">
        <f t="shared" si="5"/>
        <v>44.72</v>
      </c>
      <c r="P40" s="274">
        <f t="shared" si="6"/>
        <v>43976.753599999996</v>
      </c>
      <c r="Q40" s="237">
        <f t="shared" si="7"/>
        <v>1039.9000000000001</v>
      </c>
      <c r="R40" s="186" t="s">
        <v>937</v>
      </c>
      <c r="S40" s="188" t="s">
        <v>950</v>
      </c>
      <c r="T40" s="190" t="s">
        <v>960</v>
      </c>
      <c r="U40" s="191" t="s">
        <v>980</v>
      </c>
      <c r="AA40" s="121">
        <f t="shared" si="0"/>
        <v>49.143500000000003</v>
      </c>
      <c r="AB40" s="194">
        <f t="shared" si="8"/>
        <v>934.23649999999998</v>
      </c>
      <c r="AC40" s="185"/>
      <c r="AD40" s="191"/>
      <c r="AE40" s="185"/>
    </row>
    <row r="41" spans="1:32" s="121" customFormat="1" ht="22.5" x14ac:dyDescent="0.2">
      <c r="A41" s="121">
        <f t="shared" si="1"/>
        <v>6.0384000000000002</v>
      </c>
      <c r="B41" s="120"/>
      <c r="C41" s="56" t="s">
        <v>177</v>
      </c>
      <c r="D41" s="56" t="s">
        <v>96</v>
      </c>
      <c r="E41" s="57" t="s">
        <v>196</v>
      </c>
      <c r="F41" s="58" t="s">
        <v>197</v>
      </c>
      <c r="G41" s="59" t="s">
        <v>150</v>
      </c>
      <c r="H41" s="60">
        <v>982.87</v>
      </c>
      <c r="I41" s="61">
        <v>11.84</v>
      </c>
      <c r="J41" s="60">
        <v>11637.2</v>
      </c>
      <c r="K41" s="68">
        <v>0.51</v>
      </c>
      <c r="L41" s="69">
        <f t="shared" si="2"/>
        <v>11.84</v>
      </c>
      <c r="M41" s="273">
        <f t="shared" si="3"/>
        <v>6.0384000000000002</v>
      </c>
      <c r="N41" s="71">
        <f t="shared" si="4"/>
        <v>983.38</v>
      </c>
      <c r="O41" s="72">
        <f t="shared" si="5"/>
        <v>11.84</v>
      </c>
      <c r="P41" s="274">
        <f t="shared" si="6"/>
        <v>11643.2192</v>
      </c>
      <c r="Q41" s="237">
        <f t="shared" si="7"/>
        <v>1039.9000000000001</v>
      </c>
      <c r="R41" s="186" t="s">
        <v>937</v>
      </c>
      <c r="S41" s="188" t="s">
        <v>950</v>
      </c>
      <c r="T41" s="190" t="s">
        <v>960</v>
      </c>
      <c r="U41" s="191" t="s">
        <v>980</v>
      </c>
      <c r="AA41" s="121">
        <f t="shared" si="0"/>
        <v>49.143500000000003</v>
      </c>
      <c r="AB41" s="194">
        <f t="shared" si="8"/>
        <v>934.23649999999998</v>
      </c>
      <c r="AC41" s="185"/>
      <c r="AD41" s="191"/>
    </row>
    <row r="42" spans="1:32" s="121" customFormat="1" ht="12" x14ac:dyDescent="0.2">
      <c r="A42" s="121">
        <f t="shared" si="1"/>
        <v>119.48</v>
      </c>
      <c r="B42" s="120"/>
      <c r="C42" s="56" t="s">
        <v>180</v>
      </c>
      <c r="D42" s="56" t="s">
        <v>96</v>
      </c>
      <c r="E42" s="57" t="s">
        <v>199</v>
      </c>
      <c r="F42" s="58" t="s">
        <v>200</v>
      </c>
      <c r="G42" s="59" t="s">
        <v>201</v>
      </c>
      <c r="H42" s="60">
        <v>1965.74</v>
      </c>
      <c r="I42" s="61">
        <v>116</v>
      </c>
      <c r="J42" s="60">
        <v>228025.8</v>
      </c>
      <c r="K42" s="68">
        <v>1.03</v>
      </c>
      <c r="L42" s="69">
        <f t="shared" si="2"/>
        <v>116</v>
      </c>
      <c r="M42" s="273">
        <f t="shared" si="3"/>
        <v>119.48</v>
      </c>
      <c r="N42" s="71">
        <f t="shared" si="4"/>
        <v>1966.77</v>
      </c>
      <c r="O42" s="72">
        <f t="shared" si="5"/>
        <v>116</v>
      </c>
      <c r="P42" s="274">
        <f t="shared" si="6"/>
        <v>228145.32</v>
      </c>
      <c r="Q42" s="237">
        <f t="shared" si="7"/>
        <v>2079.8000000000002</v>
      </c>
      <c r="R42" s="185"/>
      <c r="S42" s="185"/>
      <c r="AA42" s="121">
        <f t="shared" si="0"/>
        <v>98.287000000000006</v>
      </c>
      <c r="AB42" s="194">
        <f t="shared" si="8"/>
        <v>1868.4829999999999</v>
      </c>
      <c r="AC42" s="185"/>
      <c r="AD42" s="191"/>
    </row>
    <row r="43" spans="1:32" s="121" customFormat="1" ht="12" x14ac:dyDescent="0.2">
      <c r="A43" s="121">
        <f t="shared" si="1"/>
        <v>141.9264</v>
      </c>
      <c r="B43" s="120"/>
      <c r="C43" s="56" t="s">
        <v>183</v>
      </c>
      <c r="D43" s="56" t="s">
        <v>96</v>
      </c>
      <c r="E43" s="57" t="s">
        <v>203</v>
      </c>
      <c r="F43" s="58" t="s">
        <v>204</v>
      </c>
      <c r="G43" s="59" t="s">
        <v>150</v>
      </c>
      <c r="H43" s="60">
        <v>1898.6</v>
      </c>
      <c r="I43" s="61">
        <v>143.36000000000001</v>
      </c>
      <c r="J43" s="60">
        <v>272183.3</v>
      </c>
      <c r="K43" s="68">
        <v>0.99</v>
      </c>
      <c r="L43" s="69">
        <f t="shared" si="2"/>
        <v>143.36000000000001</v>
      </c>
      <c r="M43" s="273">
        <f t="shared" si="3"/>
        <v>141.9264</v>
      </c>
      <c r="N43" s="71">
        <f t="shared" si="4"/>
        <v>1899.59</v>
      </c>
      <c r="O43" s="72">
        <f t="shared" si="5"/>
        <v>143.36000000000001</v>
      </c>
      <c r="P43" s="274">
        <f t="shared" si="6"/>
        <v>272325.22240000003</v>
      </c>
      <c r="Q43" s="237">
        <f t="shared" si="7"/>
        <v>2008.76</v>
      </c>
      <c r="R43" s="185"/>
      <c r="S43" s="185"/>
      <c r="AA43" s="121">
        <f t="shared" si="0"/>
        <v>94.93</v>
      </c>
      <c r="AB43" s="194">
        <f t="shared" si="8"/>
        <v>1804.6599999999999</v>
      </c>
      <c r="AC43" s="185"/>
      <c r="AD43" s="191"/>
    </row>
    <row r="44" spans="1:32" s="121" customFormat="1" ht="12" x14ac:dyDescent="0.2">
      <c r="A44" s="121">
        <f t="shared" si="1"/>
        <v>105.0324</v>
      </c>
      <c r="B44" s="120"/>
      <c r="C44" s="56" t="s">
        <v>186</v>
      </c>
      <c r="D44" s="56" t="s">
        <v>96</v>
      </c>
      <c r="E44" s="57" t="s">
        <v>206</v>
      </c>
      <c r="F44" s="58" t="s">
        <v>207</v>
      </c>
      <c r="G44" s="59" t="s">
        <v>150</v>
      </c>
      <c r="H44" s="60">
        <v>631.83000000000004</v>
      </c>
      <c r="I44" s="61">
        <v>318.27999999999997</v>
      </c>
      <c r="J44" s="60">
        <v>201098.9</v>
      </c>
      <c r="K44" s="68">
        <v>0.33</v>
      </c>
      <c r="L44" s="69">
        <f t="shared" si="2"/>
        <v>318.27999999999997</v>
      </c>
      <c r="M44" s="273">
        <f t="shared" si="3"/>
        <v>105.0324</v>
      </c>
      <c r="N44" s="71">
        <f t="shared" si="4"/>
        <v>632.16000000000008</v>
      </c>
      <c r="O44" s="72">
        <f t="shared" si="5"/>
        <v>318.27999999999997</v>
      </c>
      <c r="P44" s="274">
        <f t="shared" si="6"/>
        <v>201203.8848</v>
      </c>
      <c r="Q44" s="237">
        <f t="shared" si="7"/>
        <v>668.49</v>
      </c>
      <c r="R44" s="185"/>
      <c r="S44" s="185"/>
      <c r="AA44" s="121">
        <f t="shared" si="0"/>
        <v>31.591500000000003</v>
      </c>
      <c r="AB44" s="194">
        <f t="shared" si="8"/>
        <v>600.56850000000009</v>
      </c>
      <c r="AC44" s="185"/>
      <c r="AD44" s="191"/>
    </row>
    <row r="45" spans="1:32" s="121" customFormat="1" ht="12" x14ac:dyDescent="0.2">
      <c r="A45" s="121">
        <f t="shared" si="1"/>
        <v>113.98860000000001</v>
      </c>
      <c r="B45" s="120"/>
      <c r="C45" s="73" t="s">
        <v>189</v>
      </c>
      <c r="D45" s="73" t="s">
        <v>209</v>
      </c>
      <c r="E45" s="74" t="s">
        <v>210</v>
      </c>
      <c r="F45" s="75" t="s">
        <v>211</v>
      </c>
      <c r="G45" s="76" t="s">
        <v>201</v>
      </c>
      <c r="H45" s="77">
        <v>1263.6600000000001</v>
      </c>
      <c r="I45" s="78">
        <v>172.71</v>
      </c>
      <c r="J45" s="77">
        <v>218246.7</v>
      </c>
      <c r="K45" s="68">
        <v>0.66</v>
      </c>
      <c r="L45" s="69">
        <f t="shared" si="2"/>
        <v>172.71</v>
      </c>
      <c r="M45" s="273">
        <f t="shared" si="3"/>
        <v>113.98860000000001</v>
      </c>
      <c r="N45" s="71">
        <f t="shared" si="4"/>
        <v>1264.3200000000002</v>
      </c>
      <c r="O45" s="72">
        <f t="shared" si="5"/>
        <v>172.71</v>
      </c>
      <c r="P45" s="274">
        <f t="shared" si="6"/>
        <v>218360.70720000003</v>
      </c>
      <c r="Q45" s="237">
        <f t="shared" si="7"/>
        <v>1336.98</v>
      </c>
      <c r="R45" s="185"/>
      <c r="S45" s="185"/>
      <c r="AA45" s="121">
        <f t="shared" si="0"/>
        <v>63.183000000000007</v>
      </c>
      <c r="AB45" s="194">
        <f t="shared" si="8"/>
        <v>1201.1370000000002</v>
      </c>
      <c r="AC45" s="185"/>
      <c r="AD45" s="191"/>
    </row>
    <row r="46" spans="1:32" s="121" customFormat="1" ht="12" x14ac:dyDescent="0.2">
      <c r="A46" s="121">
        <f t="shared" si="1"/>
        <v>11.862400000000001</v>
      </c>
      <c r="B46" s="120"/>
      <c r="C46" s="56" t="s">
        <v>192</v>
      </c>
      <c r="D46" s="56" t="s">
        <v>96</v>
      </c>
      <c r="E46" s="57" t="s">
        <v>213</v>
      </c>
      <c r="F46" s="58" t="s">
        <v>214</v>
      </c>
      <c r="G46" s="59" t="s">
        <v>108</v>
      </c>
      <c r="H46" s="60">
        <v>416.79</v>
      </c>
      <c r="I46" s="61">
        <v>53.92</v>
      </c>
      <c r="J46" s="60">
        <v>22473.3</v>
      </c>
      <c r="K46" s="68">
        <v>0.22</v>
      </c>
      <c r="L46" s="69">
        <f t="shared" si="2"/>
        <v>53.92</v>
      </c>
      <c r="M46" s="273">
        <f t="shared" si="3"/>
        <v>11.862400000000001</v>
      </c>
      <c r="N46" s="71">
        <f t="shared" si="4"/>
        <v>417.01000000000005</v>
      </c>
      <c r="O46" s="72">
        <f t="shared" si="5"/>
        <v>53.92</v>
      </c>
      <c r="P46" s="274">
        <f t="shared" si="6"/>
        <v>22485.179200000002</v>
      </c>
      <c r="Q46" s="237">
        <f t="shared" si="7"/>
        <v>440.97</v>
      </c>
      <c r="R46" s="185"/>
      <c r="S46" s="185"/>
      <c r="AA46" s="121">
        <f t="shared" si="0"/>
        <v>20.839500000000001</v>
      </c>
      <c r="AB46" s="194">
        <f t="shared" si="8"/>
        <v>396.17050000000006</v>
      </c>
      <c r="AC46" s="188"/>
      <c r="AD46" s="191"/>
    </row>
    <row r="47" spans="1:32" s="121" customFormat="1" ht="12" x14ac:dyDescent="0.2">
      <c r="A47" s="121">
        <f t="shared" si="1"/>
        <v>1.8410000000000002</v>
      </c>
      <c r="B47" s="120"/>
      <c r="C47" s="56" t="s">
        <v>195</v>
      </c>
      <c r="D47" s="56" t="s">
        <v>96</v>
      </c>
      <c r="E47" s="57" t="s">
        <v>216</v>
      </c>
      <c r="F47" s="58" t="s">
        <v>217</v>
      </c>
      <c r="G47" s="59" t="s">
        <v>108</v>
      </c>
      <c r="H47" s="60">
        <v>126.5</v>
      </c>
      <c r="I47" s="61">
        <v>26.3</v>
      </c>
      <c r="J47" s="60">
        <v>3327</v>
      </c>
      <c r="K47" s="68">
        <v>7.0000000000000007E-2</v>
      </c>
      <c r="L47" s="69">
        <f t="shared" si="2"/>
        <v>26.3</v>
      </c>
      <c r="M47" s="273">
        <f t="shared" si="3"/>
        <v>1.8410000000000002</v>
      </c>
      <c r="N47" s="71">
        <f t="shared" si="4"/>
        <v>126.57</v>
      </c>
      <c r="O47" s="72">
        <f t="shared" si="5"/>
        <v>26.3</v>
      </c>
      <c r="P47" s="274">
        <f t="shared" si="6"/>
        <v>3328.7909999999997</v>
      </c>
      <c r="Q47" s="237">
        <f t="shared" si="7"/>
        <v>133.84</v>
      </c>
      <c r="R47" s="185"/>
      <c r="S47" s="185"/>
      <c r="AA47" s="121">
        <f t="shared" ref="AA47:AA78" si="9">0.05*H47</f>
        <v>6.3250000000000002</v>
      </c>
      <c r="AB47" s="194">
        <f t="shared" si="8"/>
        <v>120.24499999999999</v>
      </c>
      <c r="AC47" s="188"/>
      <c r="AD47" s="191"/>
    </row>
    <row r="48" spans="1:32" s="170" customFormat="1" ht="12.75" x14ac:dyDescent="0.2">
      <c r="A48" s="121">
        <f t="shared" si="1"/>
        <v>0</v>
      </c>
      <c r="B48" s="165"/>
      <c r="C48" s="252"/>
      <c r="D48" s="253" t="s">
        <v>4</v>
      </c>
      <c r="E48" s="254" t="s">
        <v>8</v>
      </c>
      <c r="F48" s="254" t="s">
        <v>218</v>
      </c>
      <c r="G48" s="252"/>
      <c r="H48" s="252"/>
      <c r="I48" s="255"/>
      <c r="J48" s="256">
        <f>+SUBTOTAL(9,J49)</f>
        <v>25964.400000000001</v>
      </c>
      <c r="K48" s="287"/>
      <c r="L48" s="288"/>
      <c r="M48" s="279"/>
      <c r="N48" s="280"/>
      <c r="O48" s="288"/>
      <c r="P48" s="279">
        <f>SUM(P49)</f>
        <v>25978.000400000004</v>
      </c>
      <c r="Q48" s="237">
        <f t="shared" si="7"/>
        <v>0</v>
      </c>
      <c r="R48" s="187"/>
      <c r="S48" s="187"/>
      <c r="AA48" s="121">
        <f t="shared" si="9"/>
        <v>0</v>
      </c>
      <c r="AB48" s="194">
        <f t="shared" si="8"/>
        <v>0</v>
      </c>
      <c r="AC48" s="187"/>
      <c r="AD48" s="218"/>
    </row>
    <row r="49" spans="1:31" s="121" customFormat="1" ht="22.5" x14ac:dyDescent="0.2">
      <c r="A49" s="121">
        <f t="shared" si="1"/>
        <v>13.600400000000002</v>
      </c>
      <c r="B49" s="120"/>
      <c r="C49" s="56" t="s">
        <v>198</v>
      </c>
      <c r="D49" s="56" t="s">
        <v>96</v>
      </c>
      <c r="E49" s="57" t="s">
        <v>220</v>
      </c>
      <c r="F49" s="58" t="s">
        <v>221</v>
      </c>
      <c r="G49" s="59" t="s">
        <v>133</v>
      </c>
      <c r="H49" s="60">
        <v>420</v>
      </c>
      <c r="I49" s="61">
        <v>61.820000000000007</v>
      </c>
      <c r="J49" s="60">
        <v>25964.400000000001</v>
      </c>
      <c r="K49" s="68">
        <v>0.22</v>
      </c>
      <c r="L49" s="69">
        <f t="shared" si="2"/>
        <v>61.820000000000007</v>
      </c>
      <c r="M49" s="273">
        <f t="shared" si="3"/>
        <v>13.600400000000002</v>
      </c>
      <c r="N49" s="71">
        <f t="shared" si="4"/>
        <v>420.22</v>
      </c>
      <c r="O49" s="72">
        <f t="shared" si="5"/>
        <v>61.820000000000007</v>
      </c>
      <c r="P49" s="274">
        <f t="shared" si="6"/>
        <v>25978.000400000004</v>
      </c>
      <c r="Q49" s="237">
        <f t="shared" si="7"/>
        <v>444.37</v>
      </c>
      <c r="R49" s="185"/>
      <c r="S49" s="185"/>
      <c r="V49" s="190" t="s">
        <v>997</v>
      </c>
      <c r="AA49" s="121">
        <f t="shared" si="9"/>
        <v>21</v>
      </c>
      <c r="AB49" s="194">
        <f t="shared" si="8"/>
        <v>399.22</v>
      </c>
      <c r="AC49" s="185"/>
      <c r="AD49" s="191"/>
    </row>
    <row r="50" spans="1:31" s="170" customFormat="1" ht="12.75" x14ac:dyDescent="0.2">
      <c r="A50" s="121">
        <f t="shared" si="1"/>
        <v>0</v>
      </c>
      <c r="B50" s="165"/>
      <c r="C50" s="252"/>
      <c r="D50" s="253" t="s">
        <v>4</v>
      </c>
      <c r="E50" s="254" t="s">
        <v>13</v>
      </c>
      <c r="F50" s="254" t="s">
        <v>222</v>
      </c>
      <c r="G50" s="252"/>
      <c r="H50" s="252"/>
      <c r="I50" s="255"/>
      <c r="J50" s="256">
        <f>+SUBTOTAL(9,J51:J52)</f>
        <v>37743.5</v>
      </c>
      <c r="K50" s="287"/>
      <c r="L50" s="288"/>
      <c r="M50" s="279"/>
      <c r="N50" s="280"/>
      <c r="O50" s="288"/>
      <c r="P50" s="279">
        <f>SUM(P51:P52)</f>
        <v>37763.22</v>
      </c>
      <c r="Q50" s="237">
        <f t="shared" si="7"/>
        <v>0</v>
      </c>
      <c r="R50" s="187"/>
      <c r="S50" s="187"/>
      <c r="AA50" s="121">
        <f t="shared" si="9"/>
        <v>0</v>
      </c>
      <c r="AB50" s="194">
        <f t="shared" si="8"/>
        <v>0</v>
      </c>
      <c r="AC50" s="187"/>
      <c r="AD50" s="218"/>
    </row>
    <row r="51" spans="1:31" s="121" customFormat="1" ht="12" x14ac:dyDescent="0.2">
      <c r="A51" s="121">
        <f t="shared" si="1"/>
        <v>16.440000000000001</v>
      </c>
      <c r="B51" s="120"/>
      <c r="C51" s="56" t="s">
        <v>202</v>
      </c>
      <c r="D51" s="56" t="s">
        <v>96</v>
      </c>
      <c r="E51" s="57" t="s">
        <v>224</v>
      </c>
      <c r="F51" s="58" t="s">
        <v>225</v>
      </c>
      <c r="G51" s="59" t="s">
        <v>133</v>
      </c>
      <c r="H51" s="60">
        <v>956.5</v>
      </c>
      <c r="I51" s="61">
        <v>32.880000000000003</v>
      </c>
      <c r="J51" s="60">
        <v>31449.7</v>
      </c>
      <c r="K51" s="68">
        <v>0.5</v>
      </c>
      <c r="L51" s="69">
        <f t="shared" si="2"/>
        <v>32.880000000000003</v>
      </c>
      <c r="M51" s="273">
        <f t="shared" si="3"/>
        <v>16.440000000000001</v>
      </c>
      <c r="N51" s="71">
        <f t="shared" si="4"/>
        <v>957</v>
      </c>
      <c r="O51" s="72">
        <f t="shared" si="5"/>
        <v>32.880000000000003</v>
      </c>
      <c r="P51" s="274">
        <f t="shared" si="6"/>
        <v>31466.160000000003</v>
      </c>
      <c r="Q51" s="237">
        <f t="shared" si="7"/>
        <v>1012</v>
      </c>
      <c r="R51" s="185"/>
      <c r="S51" s="185"/>
      <c r="AA51" s="121">
        <f t="shared" si="9"/>
        <v>47.825000000000003</v>
      </c>
      <c r="AB51" s="194">
        <f t="shared" si="8"/>
        <v>909.17499999999995</v>
      </c>
      <c r="AC51" s="185"/>
      <c r="AD51" s="191"/>
    </row>
    <row r="52" spans="1:31" s="121" customFormat="1" ht="12" x14ac:dyDescent="0.2">
      <c r="A52" s="121">
        <f t="shared" si="1"/>
        <v>3.29</v>
      </c>
      <c r="B52" s="120"/>
      <c r="C52" s="56" t="s">
        <v>205</v>
      </c>
      <c r="D52" s="56" t="s">
        <v>96</v>
      </c>
      <c r="E52" s="57" t="s">
        <v>227</v>
      </c>
      <c r="F52" s="58" t="s">
        <v>228</v>
      </c>
      <c r="G52" s="59" t="s">
        <v>133</v>
      </c>
      <c r="H52" s="60">
        <v>956.5</v>
      </c>
      <c r="I52" s="61">
        <v>6.58</v>
      </c>
      <c r="J52" s="60">
        <v>6293.8</v>
      </c>
      <c r="K52" s="68">
        <v>0.5</v>
      </c>
      <c r="L52" s="69">
        <f t="shared" si="2"/>
        <v>6.58</v>
      </c>
      <c r="M52" s="273">
        <f t="shared" si="3"/>
        <v>3.29</v>
      </c>
      <c r="N52" s="71">
        <f t="shared" si="4"/>
        <v>957</v>
      </c>
      <c r="O52" s="72">
        <f t="shared" si="5"/>
        <v>6.58</v>
      </c>
      <c r="P52" s="274">
        <f t="shared" si="6"/>
        <v>6297.06</v>
      </c>
      <c r="Q52" s="237">
        <f t="shared" si="7"/>
        <v>1012</v>
      </c>
      <c r="R52" s="185"/>
      <c r="S52" s="185"/>
      <c r="AA52" s="121">
        <f t="shared" si="9"/>
        <v>47.825000000000003</v>
      </c>
      <c r="AB52" s="194">
        <f t="shared" si="8"/>
        <v>909.17499999999995</v>
      </c>
      <c r="AC52" s="185"/>
      <c r="AD52" s="191"/>
    </row>
    <row r="53" spans="1:31" s="170" customFormat="1" ht="12.75" x14ac:dyDescent="0.2">
      <c r="A53" s="121">
        <f t="shared" si="1"/>
        <v>0</v>
      </c>
      <c r="B53" s="165"/>
      <c r="C53" s="252"/>
      <c r="D53" s="253" t="s">
        <v>4</v>
      </c>
      <c r="E53" s="254" t="s">
        <v>100</v>
      </c>
      <c r="F53" s="254" t="s">
        <v>229</v>
      </c>
      <c r="G53" s="252"/>
      <c r="H53" s="252"/>
      <c r="I53" s="255"/>
      <c r="J53" s="256">
        <f>+SUBTOTAL(9,J54:J62)</f>
        <v>558521.9</v>
      </c>
      <c r="K53" s="287"/>
      <c r="L53" s="288"/>
      <c r="M53" s="279"/>
      <c r="N53" s="280"/>
      <c r="O53" s="288"/>
      <c r="P53" s="279">
        <f>SUM(P54:P62)</f>
        <v>558812.86840000004</v>
      </c>
      <c r="Q53" s="237">
        <f t="shared" si="7"/>
        <v>0</v>
      </c>
      <c r="R53" s="187"/>
      <c r="S53" s="187"/>
      <c r="AA53" s="121">
        <f t="shared" si="9"/>
        <v>0</v>
      </c>
      <c r="AB53" s="194">
        <f t="shared" si="8"/>
        <v>0</v>
      </c>
      <c r="AC53" s="187"/>
      <c r="AD53" s="218"/>
    </row>
    <row r="54" spans="1:31" s="121" customFormat="1" ht="12" x14ac:dyDescent="0.2">
      <c r="A54" s="121">
        <f t="shared" si="1"/>
        <v>0</v>
      </c>
      <c r="B54" s="120"/>
      <c r="C54" s="56" t="s">
        <v>208</v>
      </c>
      <c r="D54" s="56" t="s">
        <v>96</v>
      </c>
      <c r="E54" s="57" t="s">
        <v>231</v>
      </c>
      <c r="F54" s="58" t="s">
        <v>232</v>
      </c>
      <c r="G54" s="59" t="s">
        <v>99</v>
      </c>
      <c r="H54" s="60">
        <v>23</v>
      </c>
      <c r="I54" s="61">
        <v>122.32</v>
      </c>
      <c r="J54" s="60">
        <v>2813.4</v>
      </c>
      <c r="K54" s="68">
        <v>0</v>
      </c>
      <c r="L54" s="69">
        <f t="shared" si="2"/>
        <v>122.32</v>
      </c>
      <c r="M54" s="273">
        <f t="shared" si="3"/>
        <v>0</v>
      </c>
      <c r="N54" s="71">
        <f t="shared" si="4"/>
        <v>23</v>
      </c>
      <c r="O54" s="72">
        <f t="shared" si="5"/>
        <v>122.32</v>
      </c>
      <c r="P54" s="274">
        <f t="shared" si="6"/>
        <v>2813.3599999999997</v>
      </c>
      <c r="Q54" s="237">
        <f t="shared" si="7"/>
        <v>24.33</v>
      </c>
      <c r="R54" s="185"/>
      <c r="S54" s="185"/>
      <c r="AA54" s="121">
        <f t="shared" si="9"/>
        <v>1.1500000000000001</v>
      </c>
      <c r="AB54" s="194">
        <f t="shared" si="8"/>
        <v>21.85</v>
      </c>
      <c r="AC54" s="185"/>
      <c r="AD54" s="191"/>
    </row>
    <row r="55" spans="1:31" s="121" customFormat="1" ht="12" x14ac:dyDescent="0.2">
      <c r="A55" s="121">
        <f t="shared" si="1"/>
        <v>0</v>
      </c>
      <c r="B55" s="120"/>
      <c r="C55" s="73" t="s">
        <v>212</v>
      </c>
      <c r="D55" s="73" t="s">
        <v>209</v>
      </c>
      <c r="E55" s="74" t="s">
        <v>234</v>
      </c>
      <c r="F55" s="75" t="s">
        <v>235</v>
      </c>
      <c r="G55" s="76" t="s">
        <v>99</v>
      </c>
      <c r="H55" s="77">
        <v>2</v>
      </c>
      <c r="I55" s="78">
        <v>345.9</v>
      </c>
      <c r="J55" s="77">
        <v>691.8</v>
      </c>
      <c r="K55" s="68">
        <v>0</v>
      </c>
      <c r="L55" s="69">
        <f t="shared" si="2"/>
        <v>345.9</v>
      </c>
      <c r="M55" s="273">
        <f t="shared" si="3"/>
        <v>0</v>
      </c>
      <c r="N55" s="71">
        <f t="shared" si="4"/>
        <v>2</v>
      </c>
      <c r="O55" s="72">
        <f t="shared" si="5"/>
        <v>345.9</v>
      </c>
      <c r="P55" s="274">
        <f t="shared" si="6"/>
        <v>691.8</v>
      </c>
      <c r="Q55" s="237">
        <f t="shared" si="7"/>
        <v>2.12</v>
      </c>
      <c r="R55" s="185"/>
      <c r="S55" s="185"/>
      <c r="AA55" s="121">
        <f t="shared" si="9"/>
        <v>0.1</v>
      </c>
      <c r="AB55" s="194">
        <f t="shared" si="8"/>
        <v>1.9</v>
      </c>
      <c r="AC55" s="185"/>
      <c r="AD55" s="191"/>
    </row>
    <row r="56" spans="1:31" s="121" customFormat="1" ht="12" x14ac:dyDescent="0.2">
      <c r="A56" s="121">
        <f t="shared" si="1"/>
        <v>0</v>
      </c>
      <c r="B56" s="120"/>
      <c r="C56" s="73" t="s">
        <v>215</v>
      </c>
      <c r="D56" s="73" t="s">
        <v>209</v>
      </c>
      <c r="E56" s="74" t="s">
        <v>237</v>
      </c>
      <c r="F56" s="75" t="s">
        <v>238</v>
      </c>
      <c r="G56" s="76" t="s">
        <v>99</v>
      </c>
      <c r="H56" s="77">
        <v>8</v>
      </c>
      <c r="I56" s="78">
        <v>313.02</v>
      </c>
      <c r="J56" s="77">
        <v>2504.1999999999998</v>
      </c>
      <c r="K56" s="68">
        <v>0</v>
      </c>
      <c r="L56" s="69">
        <f t="shared" si="2"/>
        <v>313.02</v>
      </c>
      <c r="M56" s="273">
        <f t="shared" si="3"/>
        <v>0</v>
      </c>
      <c r="N56" s="71">
        <f t="shared" si="4"/>
        <v>8</v>
      </c>
      <c r="O56" s="72">
        <f t="shared" si="5"/>
        <v>313.02</v>
      </c>
      <c r="P56" s="274">
        <f t="shared" si="6"/>
        <v>2504.16</v>
      </c>
      <c r="Q56" s="237">
        <f t="shared" si="7"/>
        <v>8.4600000000000009</v>
      </c>
      <c r="R56" s="185"/>
      <c r="S56" s="185"/>
      <c r="AA56" s="121">
        <f t="shared" si="9"/>
        <v>0.4</v>
      </c>
      <c r="AB56" s="194">
        <f t="shared" si="8"/>
        <v>7.6</v>
      </c>
      <c r="AC56" s="185"/>
      <c r="AD56" s="191"/>
    </row>
    <row r="57" spans="1:31" s="121" customFormat="1" ht="12" x14ac:dyDescent="0.2">
      <c r="A57" s="121">
        <f t="shared" si="1"/>
        <v>0</v>
      </c>
      <c r="B57" s="120"/>
      <c r="C57" s="73" t="s">
        <v>219</v>
      </c>
      <c r="D57" s="73" t="s">
        <v>209</v>
      </c>
      <c r="E57" s="74" t="s">
        <v>240</v>
      </c>
      <c r="F57" s="75" t="s">
        <v>241</v>
      </c>
      <c r="G57" s="76" t="s">
        <v>99</v>
      </c>
      <c r="H57" s="77">
        <v>9</v>
      </c>
      <c r="I57" s="78">
        <v>270.94</v>
      </c>
      <c r="J57" s="77">
        <v>2438.5</v>
      </c>
      <c r="K57" s="68">
        <v>0</v>
      </c>
      <c r="L57" s="69">
        <f t="shared" si="2"/>
        <v>270.94</v>
      </c>
      <c r="M57" s="273">
        <f t="shared" si="3"/>
        <v>0</v>
      </c>
      <c r="N57" s="71">
        <f t="shared" si="4"/>
        <v>9</v>
      </c>
      <c r="O57" s="72">
        <f t="shared" si="5"/>
        <v>270.94</v>
      </c>
      <c r="P57" s="274">
        <f t="shared" si="6"/>
        <v>2438.46</v>
      </c>
      <c r="Q57" s="237">
        <f t="shared" si="7"/>
        <v>9.52</v>
      </c>
      <c r="R57" s="185"/>
      <c r="S57" s="185"/>
      <c r="AA57" s="121">
        <f t="shared" si="9"/>
        <v>0.45</v>
      </c>
      <c r="AB57" s="194">
        <f t="shared" si="8"/>
        <v>8.5500000000000007</v>
      </c>
      <c r="AC57" s="185"/>
      <c r="AD57" s="191"/>
    </row>
    <row r="58" spans="1:31" s="121" customFormat="1" ht="12" x14ac:dyDescent="0.2">
      <c r="A58" s="121">
        <f t="shared" si="1"/>
        <v>0</v>
      </c>
      <c r="B58" s="120"/>
      <c r="C58" s="73" t="s">
        <v>223</v>
      </c>
      <c r="D58" s="73" t="s">
        <v>209</v>
      </c>
      <c r="E58" s="74" t="s">
        <v>243</v>
      </c>
      <c r="F58" s="75" t="s">
        <v>244</v>
      </c>
      <c r="G58" s="76" t="s">
        <v>99</v>
      </c>
      <c r="H58" s="77">
        <v>4</v>
      </c>
      <c r="I58" s="78">
        <v>220.96</v>
      </c>
      <c r="J58" s="77">
        <v>883.8</v>
      </c>
      <c r="K58" s="68">
        <v>0</v>
      </c>
      <c r="L58" s="69">
        <f t="shared" si="2"/>
        <v>220.96</v>
      </c>
      <c r="M58" s="273">
        <f t="shared" si="3"/>
        <v>0</v>
      </c>
      <c r="N58" s="71">
        <f t="shared" si="4"/>
        <v>4</v>
      </c>
      <c r="O58" s="72">
        <f t="shared" si="5"/>
        <v>220.96</v>
      </c>
      <c r="P58" s="274">
        <f t="shared" si="6"/>
        <v>883.84</v>
      </c>
      <c r="Q58" s="237">
        <f t="shared" si="7"/>
        <v>4.2300000000000004</v>
      </c>
      <c r="R58" s="185"/>
      <c r="S58" s="185"/>
      <c r="AA58" s="121">
        <f t="shared" si="9"/>
        <v>0.2</v>
      </c>
      <c r="AB58" s="194">
        <f t="shared" si="8"/>
        <v>3.8</v>
      </c>
      <c r="AC58" s="185"/>
      <c r="AD58" s="191"/>
    </row>
    <row r="59" spans="1:31" s="121" customFormat="1" ht="12" x14ac:dyDescent="0.2">
      <c r="A59" s="121">
        <f t="shared" si="1"/>
        <v>0</v>
      </c>
      <c r="B59" s="120"/>
      <c r="C59" s="56" t="s">
        <v>226</v>
      </c>
      <c r="D59" s="56" t="s">
        <v>96</v>
      </c>
      <c r="E59" s="57" t="s">
        <v>246</v>
      </c>
      <c r="F59" s="58" t="s">
        <v>247</v>
      </c>
      <c r="G59" s="59" t="s">
        <v>99</v>
      </c>
      <c r="H59" s="60">
        <v>11</v>
      </c>
      <c r="I59" s="61">
        <v>152.57</v>
      </c>
      <c r="J59" s="60">
        <v>1678.3</v>
      </c>
      <c r="K59" s="68">
        <v>0</v>
      </c>
      <c r="L59" s="69">
        <f t="shared" si="2"/>
        <v>152.57</v>
      </c>
      <c r="M59" s="273">
        <f t="shared" si="3"/>
        <v>0</v>
      </c>
      <c r="N59" s="71">
        <f t="shared" si="4"/>
        <v>11</v>
      </c>
      <c r="O59" s="72">
        <f t="shared" si="5"/>
        <v>152.57</v>
      </c>
      <c r="P59" s="274">
        <f t="shared" si="6"/>
        <v>1678.27</v>
      </c>
      <c r="Q59" s="237">
        <f t="shared" si="7"/>
        <v>11.64</v>
      </c>
      <c r="R59" s="185"/>
      <c r="S59" s="185"/>
      <c r="AA59" s="121">
        <f t="shared" si="9"/>
        <v>0.55000000000000004</v>
      </c>
      <c r="AB59" s="194">
        <f t="shared" si="8"/>
        <v>10.45</v>
      </c>
      <c r="AC59" s="185"/>
      <c r="AD59" s="191"/>
    </row>
    <row r="60" spans="1:31" s="121" customFormat="1" ht="12" x14ac:dyDescent="0.2">
      <c r="A60" s="121">
        <f t="shared" si="1"/>
        <v>0</v>
      </c>
      <c r="B60" s="120"/>
      <c r="C60" s="73" t="s">
        <v>230</v>
      </c>
      <c r="D60" s="73" t="s">
        <v>209</v>
      </c>
      <c r="E60" s="74" t="s">
        <v>249</v>
      </c>
      <c r="F60" s="75" t="s">
        <v>250</v>
      </c>
      <c r="G60" s="76" t="s">
        <v>99</v>
      </c>
      <c r="H60" s="77">
        <v>11</v>
      </c>
      <c r="I60" s="78">
        <v>395.88</v>
      </c>
      <c r="J60" s="77">
        <v>4354.7</v>
      </c>
      <c r="K60" s="68">
        <v>0</v>
      </c>
      <c r="L60" s="69">
        <f t="shared" si="2"/>
        <v>395.88</v>
      </c>
      <c r="M60" s="273">
        <f t="shared" si="3"/>
        <v>0</v>
      </c>
      <c r="N60" s="71">
        <f t="shared" si="4"/>
        <v>11</v>
      </c>
      <c r="O60" s="72">
        <f t="shared" si="5"/>
        <v>395.88</v>
      </c>
      <c r="P60" s="274">
        <f t="shared" si="6"/>
        <v>4354.68</v>
      </c>
      <c r="Q60" s="237">
        <f t="shared" si="7"/>
        <v>11.64</v>
      </c>
      <c r="R60" s="185"/>
      <c r="S60" s="185"/>
      <c r="AA60" s="121">
        <f t="shared" si="9"/>
        <v>0.55000000000000004</v>
      </c>
      <c r="AB60" s="194">
        <f t="shared" si="8"/>
        <v>10.45</v>
      </c>
      <c r="AC60" s="185"/>
      <c r="AD60" s="191"/>
    </row>
    <row r="61" spans="1:31" s="121" customFormat="1" ht="12" x14ac:dyDescent="0.2">
      <c r="A61" s="121">
        <f t="shared" si="1"/>
        <v>259.13279999999997</v>
      </c>
      <c r="B61" s="120"/>
      <c r="C61" s="56" t="s">
        <v>233</v>
      </c>
      <c r="D61" s="56" t="s">
        <v>96</v>
      </c>
      <c r="E61" s="57" t="s">
        <v>252</v>
      </c>
      <c r="F61" s="58" t="s">
        <v>253</v>
      </c>
      <c r="G61" s="59" t="s">
        <v>150</v>
      </c>
      <c r="H61" s="60">
        <v>149.22999999999999</v>
      </c>
      <c r="I61" s="61">
        <v>3239.16</v>
      </c>
      <c r="J61" s="60">
        <v>483379.8</v>
      </c>
      <c r="K61" s="68">
        <v>0.08</v>
      </c>
      <c r="L61" s="69">
        <f t="shared" si="2"/>
        <v>3239.16</v>
      </c>
      <c r="M61" s="273">
        <f t="shared" si="3"/>
        <v>259.13279999999997</v>
      </c>
      <c r="N61" s="71">
        <f t="shared" si="4"/>
        <v>149.31</v>
      </c>
      <c r="O61" s="72">
        <f t="shared" si="5"/>
        <v>3239.16</v>
      </c>
      <c r="P61" s="274">
        <f t="shared" si="6"/>
        <v>483638.97959999996</v>
      </c>
      <c r="Q61" s="237">
        <f t="shared" si="7"/>
        <v>157.88999999999999</v>
      </c>
      <c r="R61" s="185"/>
      <c r="S61" s="185"/>
      <c r="AA61" s="121">
        <f t="shared" si="9"/>
        <v>7.4615</v>
      </c>
      <c r="AB61" s="194">
        <f t="shared" si="8"/>
        <v>141.8485</v>
      </c>
      <c r="AC61" s="185"/>
      <c r="AD61" s="191"/>
    </row>
    <row r="62" spans="1:31" s="121" customFormat="1" ht="21.75" customHeight="1" x14ac:dyDescent="0.2">
      <c r="A62" s="121">
        <f t="shared" si="1"/>
        <v>31.881300000000003</v>
      </c>
      <c r="B62" s="120"/>
      <c r="C62" s="56" t="s">
        <v>236</v>
      </c>
      <c r="D62" s="56" t="s">
        <v>96</v>
      </c>
      <c r="E62" s="57" t="s">
        <v>255</v>
      </c>
      <c r="F62" s="58" t="s">
        <v>256</v>
      </c>
      <c r="G62" s="59" t="s">
        <v>150</v>
      </c>
      <c r="H62" s="60">
        <v>18.75</v>
      </c>
      <c r="I62" s="61">
        <v>3188.13</v>
      </c>
      <c r="J62" s="60">
        <v>59777.4</v>
      </c>
      <c r="K62" s="68">
        <v>0.01</v>
      </c>
      <c r="L62" s="69">
        <f t="shared" si="2"/>
        <v>3188.13</v>
      </c>
      <c r="M62" s="273">
        <f t="shared" si="3"/>
        <v>31.881300000000003</v>
      </c>
      <c r="N62" s="71">
        <f t="shared" si="4"/>
        <v>18.760000000000002</v>
      </c>
      <c r="O62" s="72">
        <f t="shared" si="5"/>
        <v>3188.13</v>
      </c>
      <c r="P62" s="274">
        <f t="shared" si="6"/>
        <v>59809.318800000008</v>
      </c>
      <c r="Q62" s="237">
        <f t="shared" si="7"/>
        <v>19.84</v>
      </c>
      <c r="R62" s="190" t="s">
        <v>939</v>
      </c>
      <c r="S62" s="121" t="s">
        <v>949</v>
      </c>
      <c r="T62" s="190" t="s">
        <v>962</v>
      </c>
      <c r="U62" s="190" t="s">
        <v>981</v>
      </c>
      <c r="V62" s="190" t="s">
        <v>995</v>
      </c>
      <c r="X62" s="190" t="s">
        <v>1008</v>
      </c>
      <c r="Y62" s="186" t="s">
        <v>1049</v>
      </c>
      <c r="Z62" s="121" t="s">
        <v>1056</v>
      </c>
      <c r="AA62" s="121">
        <f t="shared" si="9"/>
        <v>0.9375</v>
      </c>
      <c r="AB62" s="194">
        <f t="shared" si="8"/>
        <v>17.822500000000002</v>
      </c>
      <c r="AC62" s="188"/>
      <c r="AD62" s="191"/>
      <c r="AE62" s="185"/>
    </row>
    <row r="63" spans="1:31" s="170" customFormat="1" ht="12.75" x14ac:dyDescent="0.2">
      <c r="A63" s="121">
        <f t="shared" si="1"/>
        <v>0</v>
      </c>
      <c r="B63" s="165"/>
      <c r="C63" s="252"/>
      <c r="D63" s="253" t="s">
        <v>4</v>
      </c>
      <c r="E63" s="254" t="s">
        <v>105</v>
      </c>
      <c r="F63" s="254" t="s">
        <v>257</v>
      </c>
      <c r="G63" s="252"/>
      <c r="H63" s="252"/>
      <c r="I63" s="255"/>
      <c r="J63" s="256">
        <f>+SUBTOTAL(9,J64:J106)</f>
        <v>4002727</v>
      </c>
      <c r="K63" s="261"/>
      <c r="L63" s="262"/>
      <c r="M63" s="279"/>
      <c r="N63" s="280"/>
      <c r="O63" s="262"/>
      <c r="P63" s="279">
        <f>SUM(P64:P106)</f>
        <v>4005765.7788999989</v>
      </c>
      <c r="Q63" s="237">
        <f t="shared" si="7"/>
        <v>0</v>
      </c>
      <c r="R63" s="187"/>
      <c r="S63" s="187"/>
      <c r="U63" s="187"/>
      <c r="AA63" s="121">
        <f t="shared" si="9"/>
        <v>0</v>
      </c>
      <c r="AB63" s="194">
        <f t="shared" si="8"/>
        <v>0</v>
      </c>
      <c r="AC63" s="187"/>
      <c r="AD63" s="218"/>
    </row>
    <row r="64" spans="1:31" s="121" customFormat="1" ht="22.5" x14ac:dyDescent="0.2">
      <c r="A64" s="121">
        <f t="shared" si="1"/>
        <v>90.762</v>
      </c>
      <c r="B64" s="120"/>
      <c r="C64" s="56" t="s">
        <v>239</v>
      </c>
      <c r="D64" s="56" t="s">
        <v>96</v>
      </c>
      <c r="E64" s="57" t="s">
        <v>262</v>
      </c>
      <c r="F64" s="58" t="s">
        <v>263</v>
      </c>
      <c r="G64" s="59" t="s">
        <v>108</v>
      </c>
      <c r="H64" s="60">
        <v>565.88</v>
      </c>
      <c r="I64" s="61">
        <v>302.54000000000002</v>
      </c>
      <c r="J64" s="60">
        <v>171201.3</v>
      </c>
      <c r="K64" s="68">
        <v>0.3</v>
      </c>
      <c r="L64" s="69">
        <f t="shared" si="2"/>
        <v>302.54000000000002</v>
      </c>
      <c r="M64" s="273">
        <f t="shared" si="3"/>
        <v>90.762</v>
      </c>
      <c r="N64" s="71">
        <f t="shared" si="4"/>
        <v>566.17999999999995</v>
      </c>
      <c r="O64" s="72">
        <f t="shared" si="5"/>
        <v>302.54000000000002</v>
      </c>
      <c r="P64" s="274">
        <f t="shared" si="6"/>
        <v>171292.09719999999</v>
      </c>
      <c r="Q64" s="237">
        <f t="shared" si="7"/>
        <v>598.71</v>
      </c>
      <c r="R64" s="186" t="s">
        <v>941</v>
      </c>
      <c r="S64" s="186" t="s">
        <v>948</v>
      </c>
      <c r="T64" s="188" t="s">
        <v>963</v>
      </c>
      <c r="U64" s="185"/>
      <c r="Y64" s="186" t="s">
        <v>1028</v>
      </c>
      <c r="Z64" s="121" t="s">
        <v>1059</v>
      </c>
      <c r="AA64" s="121">
        <f t="shared" si="9"/>
        <v>28.294</v>
      </c>
      <c r="AB64" s="194">
        <f t="shared" si="8"/>
        <v>537.88599999999997</v>
      </c>
      <c r="AC64" s="190" t="s">
        <v>1194</v>
      </c>
      <c r="AD64" s="191" t="s">
        <v>1204</v>
      </c>
      <c r="AE64" s="121" t="s">
        <v>1081</v>
      </c>
    </row>
    <row r="65" spans="1:31" s="121" customFormat="1" ht="12" x14ac:dyDescent="0.2">
      <c r="A65" s="121">
        <f t="shared" si="1"/>
        <v>0</v>
      </c>
      <c r="B65" s="120"/>
      <c r="C65" s="56" t="s">
        <v>242</v>
      </c>
      <c r="D65" s="56" t="s">
        <v>96</v>
      </c>
      <c r="E65" s="57" t="s">
        <v>265</v>
      </c>
      <c r="F65" s="58" t="s">
        <v>266</v>
      </c>
      <c r="G65" s="59" t="s">
        <v>108</v>
      </c>
      <c r="H65" s="60">
        <v>278.77999999999997</v>
      </c>
      <c r="I65" s="61">
        <v>86.36</v>
      </c>
      <c r="J65" s="60">
        <v>24075.4</v>
      </c>
      <c r="K65" s="68">
        <v>0</v>
      </c>
      <c r="L65" s="69">
        <f t="shared" si="2"/>
        <v>86.36</v>
      </c>
      <c r="M65" s="273">
        <f t="shared" si="3"/>
        <v>0</v>
      </c>
      <c r="N65" s="71">
        <f t="shared" si="4"/>
        <v>278.77999999999997</v>
      </c>
      <c r="O65" s="72">
        <f t="shared" si="5"/>
        <v>86.36</v>
      </c>
      <c r="P65" s="274">
        <f t="shared" si="6"/>
        <v>24075.440799999997</v>
      </c>
      <c r="Q65" s="237">
        <f t="shared" si="7"/>
        <v>294.95999999999998</v>
      </c>
      <c r="R65" s="185"/>
      <c r="S65" s="185"/>
      <c r="AA65" s="121">
        <f t="shared" si="9"/>
        <v>13.939</v>
      </c>
      <c r="AB65" s="194">
        <f t="shared" si="8"/>
        <v>264.84099999999995</v>
      </c>
      <c r="AC65" s="185"/>
      <c r="AD65" s="191"/>
    </row>
    <row r="66" spans="1:31" s="121" customFormat="1" ht="12" x14ac:dyDescent="0.2">
      <c r="A66" s="121">
        <f t="shared" si="1"/>
        <v>0</v>
      </c>
      <c r="B66" s="120"/>
      <c r="C66" s="56" t="s">
        <v>245</v>
      </c>
      <c r="D66" s="56" t="s">
        <v>96</v>
      </c>
      <c r="E66" s="57" t="s">
        <v>268</v>
      </c>
      <c r="F66" s="58" t="s">
        <v>269</v>
      </c>
      <c r="G66" s="59" t="s">
        <v>108</v>
      </c>
      <c r="H66" s="60">
        <v>287.10000000000002</v>
      </c>
      <c r="I66" s="61">
        <v>14.18</v>
      </c>
      <c r="J66" s="60">
        <v>4071.1</v>
      </c>
      <c r="K66" s="68">
        <v>0</v>
      </c>
      <c r="L66" s="69">
        <f t="shared" si="2"/>
        <v>14.18</v>
      </c>
      <c r="M66" s="273">
        <f t="shared" si="3"/>
        <v>0</v>
      </c>
      <c r="N66" s="71">
        <f t="shared" si="4"/>
        <v>287.10000000000002</v>
      </c>
      <c r="O66" s="72">
        <f t="shared" si="5"/>
        <v>14.18</v>
      </c>
      <c r="P66" s="274">
        <f t="shared" si="6"/>
        <v>4071.0780000000004</v>
      </c>
      <c r="Q66" s="237">
        <f t="shared" si="7"/>
        <v>303.76</v>
      </c>
      <c r="R66" s="185"/>
      <c r="S66" s="185"/>
      <c r="AA66" s="121">
        <f t="shared" si="9"/>
        <v>14.355000000000002</v>
      </c>
      <c r="AB66" s="194">
        <f t="shared" si="8"/>
        <v>272.745</v>
      </c>
      <c r="AC66" s="185"/>
      <c r="AD66" s="191"/>
    </row>
    <row r="67" spans="1:31" s="121" customFormat="1" ht="12" x14ac:dyDescent="0.2">
      <c r="A67" s="121">
        <f t="shared" si="1"/>
        <v>0</v>
      </c>
      <c r="B67" s="120"/>
      <c r="C67" s="56" t="s">
        <v>248</v>
      </c>
      <c r="D67" s="56" t="s">
        <v>96</v>
      </c>
      <c r="E67" s="57" t="s">
        <v>271</v>
      </c>
      <c r="F67" s="58" t="s">
        <v>272</v>
      </c>
      <c r="G67" s="59" t="s">
        <v>108</v>
      </c>
      <c r="H67" s="60">
        <v>548.1</v>
      </c>
      <c r="I67" s="61">
        <v>20.62</v>
      </c>
      <c r="J67" s="60">
        <v>11301.8</v>
      </c>
      <c r="K67" s="68">
        <v>0</v>
      </c>
      <c r="L67" s="69">
        <f t="shared" si="2"/>
        <v>20.62</v>
      </c>
      <c r="M67" s="273">
        <f t="shared" si="3"/>
        <v>0</v>
      </c>
      <c r="N67" s="71">
        <f t="shared" si="4"/>
        <v>548.1</v>
      </c>
      <c r="O67" s="72">
        <f t="shared" si="5"/>
        <v>20.62</v>
      </c>
      <c r="P67" s="274">
        <f t="shared" si="6"/>
        <v>11301.822</v>
      </c>
      <c r="Q67" s="237">
        <f t="shared" si="7"/>
        <v>579.9</v>
      </c>
      <c r="R67" s="185"/>
      <c r="S67" s="185"/>
      <c r="AA67" s="121">
        <f t="shared" si="9"/>
        <v>27.405000000000001</v>
      </c>
      <c r="AB67" s="194">
        <f t="shared" si="8"/>
        <v>520.69500000000005</v>
      </c>
      <c r="AC67" s="185"/>
      <c r="AD67" s="191"/>
    </row>
    <row r="68" spans="1:31" s="121" customFormat="1" ht="12" x14ac:dyDescent="0.2">
      <c r="A68" s="121">
        <f t="shared" si="1"/>
        <v>0</v>
      </c>
      <c r="B68" s="120"/>
      <c r="C68" s="56" t="s">
        <v>251</v>
      </c>
      <c r="D68" s="56" t="s">
        <v>96</v>
      </c>
      <c r="E68" s="57" t="s">
        <v>274</v>
      </c>
      <c r="F68" s="58" t="s">
        <v>275</v>
      </c>
      <c r="G68" s="59" t="s">
        <v>108</v>
      </c>
      <c r="H68" s="60">
        <v>548.1</v>
      </c>
      <c r="I68" s="61">
        <v>396.71</v>
      </c>
      <c r="J68" s="60">
        <v>217436.79999999999</v>
      </c>
      <c r="K68" s="68">
        <v>0</v>
      </c>
      <c r="L68" s="69">
        <f t="shared" si="2"/>
        <v>396.71</v>
      </c>
      <c r="M68" s="273">
        <f t="shared" si="3"/>
        <v>0</v>
      </c>
      <c r="N68" s="71">
        <f t="shared" si="4"/>
        <v>548.1</v>
      </c>
      <c r="O68" s="72">
        <f t="shared" si="5"/>
        <v>396.71</v>
      </c>
      <c r="P68" s="274">
        <f t="shared" si="6"/>
        <v>217436.75099999999</v>
      </c>
      <c r="Q68" s="237">
        <f t="shared" si="7"/>
        <v>579.9</v>
      </c>
      <c r="R68" s="185"/>
      <c r="S68" s="185"/>
      <c r="AA68" s="121">
        <f t="shared" si="9"/>
        <v>27.405000000000001</v>
      </c>
      <c r="AB68" s="194">
        <f t="shared" si="8"/>
        <v>520.69500000000005</v>
      </c>
      <c r="AC68" s="185"/>
      <c r="AD68" s="191"/>
    </row>
    <row r="69" spans="1:31" s="121" customFormat="1" ht="12" x14ac:dyDescent="0.2">
      <c r="A69" s="121">
        <f t="shared" si="1"/>
        <v>0</v>
      </c>
      <c r="B69" s="120"/>
      <c r="C69" s="56" t="s">
        <v>254</v>
      </c>
      <c r="D69" s="56" t="s">
        <v>96</v>
      </c>
      <c r="E69" s="57" t="s">
        <v>277</v>
      </c>
      <c r="F69" s="58" t="s">
        <v>278</v>
      </c>
      <c r="G69" s="59" t="s">
        <v>108</v>
      </c>
      <c r="H69" s="60">
        <v>287.10000000000002</v>
      </c>
      <c r="I69" s="61">
        <v>559.51</v>
      </c>
      <c r="J69" s="60">
        <v>160635.29999999999</v>
      </c>
      <c r="K69" s="68">
        <v>0</v>
      </c>
      <c r="L69" s="69">
        <f t="shared" si="2"/>
        <v>559.51</v>
      </c>
      <c r="M69" s="273">
        <f t="shared" si="3"/>
        <v>0</v>
      </c>
      <c r="N69" s="71">
        <f t="shared" si="4"/>
        <v>287.10000000000002</v>
      </c>
      <c r="O69" s="72">
        <f t="shared" si="5"/>
        <v>559.51</v>
      </c>
      <c r="P69" s="274">
        <f t="shared" si="6"/>
        <v>160635.321</v>
      </c>
      <c r="Q69" s="237">
        <f t="shared" si="7"/>
        <v>303.76</v>
      </c>
      <c r="R69" s="185"/>
      <c r="S69" s="185"/>
      <c r="AA69" s="121">
        <f t="shared" si="9"/>
        <v>14.355000000000002</v>
      </c>
      <c r="AB69" s="194">
        <f t="shared" si="8"/>
        <v>272.745</v>
      </c>
      <c r="AC69" s="185"/>
      <c r="AD69" s="191"/>
    </row>
    <row r="70" spans="1:31" s="121" customFormat="1" ht="22.5" x14ac:dyDescent="0.2">
      <c r="A70" s="121">
        <f t="shared" si="1"/>
        <v>0</v>
      </c>
      <c r="B70" s="120"/>
      <c r="C70" s="56" t="s">
        <v>258</v>
      </c>
      <c r="D70" s="56" t="s">
        <v>96</v>
      </c>
      <c r="E70" s="57" t="s">
        <v>290</v>
      </c>
      <c r="F70" s="58" t="s">
        <v>291</v>
      </c>
      <c r="G70" s="59" t="s">
        <v>133</v>
      </c>
      <c r="H70" s="60">
        <v>16</v>
      </c>
      <c r="I70" s="61">
        <v>415.61</v>
      </c>
      <c r="J70" s="60">
        <v>6649.8</v>
      </c>
      <c r="K70" s="68">
        <v>0</v>
      </c>
      <c r="L70" s="69">
        <f t="shared" si="2"/>
        <v>415.61</v>
      </c>
      <c r="M70" s="273">
        <f t="shared" si="3"/>
        <v>0</v>
      </c>
      <c r="N70" s="71">
        <f t="shared" si="4"/>
        <v>16</v>
      </c>
      <c r="O70" s="72">
        <f t="shared" si="5"/>
        <v>415.61</v>
      </c>
      <c r="P70" s="274">
        <f t="shared" si="6"/>
        <v>6649.76</v>
      </c>
      <c r="Q70" s="237">
        <f t="shared" si="7"/>
        <v>16.93</v>
      </c>
      <c r="R70" s="185"/>
      <c r="S70" s="185"/>
      <c r="V70" s="190" t="s">
        <v>998</v>
      </c>
      <c r="W70" s="121" t="s">
        <v>1002</v>
      </c>
      <c r="AA70" s="121">
        <f t="shared" si="9"/>
        <v>0.8</v>
      </c>
      <c r="AB70" s="194">
        <f t="shared" si="8"/>
        <v>15.2</v>
      </c>
      <c r="AC70" s="344"/>
      <c r="AD70" s="333"/>
      <c r="AE70" s="344"/>
    </row>
    <row r="71" spans="1:31" s="121" customFormat="1" ht="22.5" x14ac:dyDescent="0.2">
      <c r="A71" s="121">
        <f t="shared" si="1"/>
        <v>0</v>
      </c>
      <c r="B71" s="120"/>
      <c r="C71" s="73" t="s">
        <v>261</v>
      </c>
      <c r="D71" s="73" t="s">
        <v>209</v>
      </c>
      <c r="E71" s="74" t="s">
        <v>293</v>
      </c>
      <c r="F71" s="75" t="s">
        <v>294</v>
      </c>
      <c r="G71" s="76" t="s">
        <v>133</v>
      </c>
      <c r="H71" s="77">
        <v>16</v>
      </c>
      <c r="I71" s="78">
        <v>731.26</v>
      </c>
      <c r="J71" s="77">
        <v>11700.2</v>
      </c>
      <c r="K71" s="68">
        <v>0</v>
      </c>
      <c r="L71" s="69">
        <f t="shared" si="2"/>
        <v>731.26</v>
      </c>
      <c r="M71" s="273">
        <f t="shared" si="3"/>
        <v>0</v>
      </c>
      <c r="N71" s="71">
        <f t="shared" si="4"/>
        <v>16</v>
      </c>
      <c r="O71" s="72">
        <f t="shared" si="5"/>
        <v>731.26</v>
      </c>
      <c r="P71" s="274">
        <f t="shared" si="6"/>
        <v>11700.16</v>
      </c>
      <c r="Q71" s="237">
        <f t="shared" si="7"/>
        <v>16.93</v>
      </c>
      <c r="R71" s="185"/>
      <c r="S71" s="185"/>
      <c r="V71" s="190" t="s">
        <v>998</v>
      </c>
      <c r="W71" s="121" t="s">
        <v>1002</v>
      </c>
      <c r="AA71" s="121">
        <f t="shared" si="9"/>
        <v>0.8</v>
      </c>
      <c r="AB71" s="194">
        <f t="shared" si="8"/>
        <v>15.2</v>
      </c>
      <c r="AC71" s="344"/>
      <c r="AD71" s="333"/>
      <c r="AE71" s="344"/>
    </row>
    <row r="72" spans="1:31" s="121" customFormat="1" ht="12" x14ac:dyDescent="0.2">
      <c r="A72" s="121">
        <f t="shared" si="1"/>
        <v>-110.47800000002512</v>
      </c>
      <c r="B72" s="120"/>
      <c r="C72" s="56" t="s">
        <v>264</v>
      </c>
      <c r="D72" s="56" t="s">
        <v>96</v>
      </c>
      <c r="E72" s="57" t="s">
        <v>296</v>
      </c>
      <c r="F72" s="58" t="s">
        <v>297</v>
      </c>
      <c r="G72" s="59" t="s">
        <v>133</v>
      </c>
      <c r="H72" s="60">
        <v>680.89</v>
      </c>
      <c r="I72" s="61">
        <v>552.39</v>
      </c>
      <c r="J72" s="60">
        <v>376116.8</v>
      </c>
      <c r="K72" s="68">
        <v>-0.20000000000004547</v>
      </c>
      <c r="L72" s="69">
        <f t="shared" si="2"/>
        <v>552.39</v>
      </c>
      <c r="M72" s="273">
        <f t="shared" si="3"/>
        <v>-110.47800000002512</v>
      </c>
      <c r="N72" s="71">
        <f t="shared" si="4"/>
        <v>680.68999999999994</v>
      </c>
      <c r="O72" s="72">
        <f t="shared" si="5"/>
        <v>552.39</v>
      </c>
      <c r="P72" s="274">
        <f t="shared" si="6"/>
        <v>376006.34909999993</v>
      </c>
      <c r="Q72" s="237">
        <v>715.5</v>
      </c>
      <c r="R72" s="185"/>
      <c r="S72" s="185"/>
      <c r="AA72" s="121">
        <f t="shared" si="9"/>
        <v>34.044499999999999</v>
      </c>
      <c r="AB72" s="194">
        <f t="shared" si="8"/>
        <v>646.64549999999997</v>
      </c>
      <c r="AC72" s="185"/>
      <c r="AD72" s="191"/>
    </row>
    <row r="73" spans="1:31" s="121" customFormat="1" ht="12" x14ac:dyDescent="0.2">
      <c r="A73" s="121">
        <f t="shared" si="1"/>
        <v>-212.01400000004818</v>
      </c>
      <c r="B73" s="120"/>
      <c r="C73" s="73" t="s">
        <v>267</v>
      </c>
      <c r="D73" s="73" t="s">
        <v>209</v>
      </c>
      <c r="E73" s="74" t="s">
        <v>299</v>
      </c>
      <c r="F73" s="75" t="s">
        <v>300</v>
      </c>
      <c r="G73" s="76" t="s">
        <v>133</v>
      </c>
      <c r="H73" s="77">
        <v>680.89</v>
      </c>
      <c r="I73" s="78">
        <v>1060.07</v>
      </c>
      <c r="J73" s="77">
        <v>721791.1</v>
      </c>
      <c r="K73" s="68">
        <v>-0.20000000000004547</v>
      </c>
      <c r="L73" s="69">
        <f t="shared" si="2"/>
        <v>1060.07</v>
      </c>
      <c r="M73" s="273">
        <f t="shared" si="3"/>
        <v>-212.01400000004818</v>
      </c>
      <c r="N73" s="71">
        <f t="shared" si="4"/>
        <v>680.68999999999994</v>
      </c>
      <c r="O73" s="72">
        <f t="shared" si="5"/>
        <v>1060.07</v>
      </c>
      <c r="P73" s="274">
        <f t="shared" si="6"/>
        <v>721579.04829999991</v>
      </c>
      <c r="Q73" s="237">
        <v>715.5</v>
      </c>
      <c r="R73" s="185"/>
      <c r="S73" s="185"/>
      <c r="AA73" s="121">
        <f t="shared" si="9"/>
        <v>34.044499999999999</v>
      </c>
      <c r="AB73" s="194">
        <f t="shared" si="8"/>
        <v>646.64549999999997</v>
      </c>
      <c r="AC73" s="185"/>
      <c r="AD73" s="191"/>
    </row>
    <row r="74" spans="1:31" s="121" customFormat="1" ht="12" x14ac:dyDescent="0.2">
      <c r="A74" s="121">
        <f t="shared" si="1"/>
        <v>0</v>
      </c>
      <c r="B74" s="120"/>
      <c r="C74" s="73" t="s">
        <v>270</v>
      </c>
      <c r="D74" s="73" t="s">
        <v>209</v>
      </c>
      <c r="E74" s="74" t="s">
        <v>302</v>
      </c>
      <c r="F74" s="75" t="s">
        <v>303</v>
      </c>
      <c r="G74" s="76" t="s">
        <v>99</v>
      </c>
      <c r="H74" s="77">
        <v>37</v>
      </c>
      <c r="I74" s="78">
        <v>739.15</v>
      </c>
      <c r="J74" s="77">
        <v>27348.6</v>
      </c>
      <c r="K74" s="68">
        <v>0</v>
      </c>
      <c r="L74" s="69">
        <f t="shared" si="2"/>
        <v>739.15</v>
      </c>
      <c r="M74" s="273">
        <f t="shared" si="3"/>
        <v>0</v>
      </c>
      <c r="N74" s="71">
        <f t="shared" si="4"/>
        <v>37</v>
      </c>
      <c r="O74" s="72">
        <f t="shared" si="5"/>
        <v>739.15</v>
      </c>
      <c r="P74" s="274">
        <f t="shared" si="6"/>
        <v>27348.55</v>
      </c>
      <c r="Q74" s="237">
        <f t="shared" si="7"/>
        <v>39.15</v>
      </c>
      <c r="R74" s="185"/>
      <c r="S74" s="185"/>
      <c r="AA74" s="121">
        <f t="shared" si="9"/>
        <v>1.85</v>
      </c>
      <c r="AB74" s="194">
        <f t="shared" si="8"/>
        <v>35.15</v>
      </c>
      <c r="AC74" s="185"/>
      <c r="AD74" s="191"/>
    </row>
    <row r="75" spans="1:31" s="121" customFormat="1" ht="12" x14ac:dyDescent="0.2">
      <c r="A75" s="121">
        <f t="shared" si="1"/>
        <v>-338.01</v>
      </c>
      <c r="B75" s="120"/>
      <c r="C75" s="56" t="s">
        <v>273</v>
      </c>
      <c r="D75" s="56" t="s">
        <v>96</v>
      </c>
      <c r="E75" s="57" t="s">
        <v>453</v>
      </c>
      <c r="F75" s="58" t="s">
        <v>454</v>
      </c>
      <c r="G75" s="59" t="s">
        <v>133</v>
      </c>
      <c r="H75" s="60">
        <v>103.47</v>
      </c>
      <c r="I75" s="61">
        <v>676.02</v>
      </c>
      <c r="J75" s="60">
        <v>69947.8</v>
      </c>
      <c r="K75" s="68">
        <v>-0.5</v>
      </c>
      <c r="L75" s="69">
        <f t="shared" si="2"/>
        <v>676.02</v>
      </c>
      <c r="M75" s="273">
        <f t="shared" si="3"/>
        <v>-338.01</v>
      </c>
      <c r="N75" s="71">
        <f t="shared" si="4"/>
        <v>102.97</v>
      </c>
      <c r="O75" s="72">
        <f t="shared" si="5"/>
        <v>676.02</v>
      </c>
      <c r="P75" s="274">
        <f t="shared" si="6"/>
        <v>69609.779399999999</v>
      </c>
      <c r="Q75" s="237">
        <v>114</v>
      </c>
      <c r="R75" s="185"/>
      <c r="S75" s="185"/>
      <c r="AA75" s="121">
        <f t="shared" si="9"/>
        <v>5.1735000000000007</v>
      </c>
      <c r="AB75" s="194">
        <f t="shared" si="8"/>
        <v>97.796499999999995</v>
      </c>
      <c r="AC75" s="185"/>
      <c r="AD75" s="191"/>
    </row>
    <row r="76" spans="1:31" s="121" customFormat="1" ht="12" x14ac:dyDescent="0.2">
      <c r="A76" s="121">
        <f t="shared" si="1"/>
        <v>-741.78499999999997</v>
      </c>
      <c r="B76" s="120"/>
      <c r="C76" s="73" t="s">
        <v>276</v>
      </c>
      <c r="D76" s="73" t="s">
        <v>209</v>
      </c>
      <c r="E76" s="74" t="s">
        <v>455</v>
      </c>
      <c r="F76" s="75" t="s">
        <v>456</v>
      </c>
      <c r="G76" s="76" t="s">
        <v>133</v>
      </c>
      <c r="H76" s="77">
        <v>103.47</v>
      </c>
      <c r="I76" s="78">
        <v>1483.57</v>
      </c>
      <c r="J76" s="77">
        <v>153505</v>
      </c>
      <c r="K76" s="68">
        <v>-0.5</v>
      </c>
      <c r="L76" s="69">
        <f t="shared" si="2"/>
        <v>1483.57</v>
      </c>
      <c r="M76" s="273">
        <f t="shared" si="3"/>
        <v>-741.78499999999997</v>
      </c>
      <c r="N76" s="71">
        <f t="shared" si="4"/>
        <v>102.97</v>
      </c>
      <c r="O76" s="72">
        <f t="shared" si="5"/>
        <v>1483.57</v>
      </c>
      <c r="P76" s="274">
        <f t="shared" si="6"/>
        <v>152763.2029</v>
      </c>
      <c r="Q76" s="237">
        <v>114</v>
      </c>
      <c r="R76" s="185"/>
      <c r="S76" s="185"/>
      <c r="AA76" s="121">
        <f t="shared" si="9"/>
        <v>5.1735000000000007</v>
      </c>
      <c r="AB76" s="194">
        <f t="shared" si="8"/>
        <v>97.796499999999995</v>
      </c>
      <c r="AC76" s="185"/>
      <c r="AD76" s="191"/>
    </row>
    <row r="77" spans="1:31" s="121" customFormat="1" ht="12" x14ac:dyDescent="0.2">
      <c r="A77" s="121">
        <f t="shared" si="1"/>
        <v>0</v>
      </c>
      <c r="B77" s="120"/>
      <c r="C77" s="73" t="s">
        <v>279</v>
      </c>
      <c r="D77" s="73" t="s">
        <v>209</v>
      </c>
      <c r="E77" s="74" t="s">
        <v>457</v>
      </c>
      <c r="F77" s="75" t="s">
        <v>458</v>
      </c>
      <c r="G77" s="76" t="s">
        <v>99</v>
      </c>
      <c r="H77" s="77">
        <v>6</v>
      </c>
      <c r="I77" s="78">
        <v>923.28</v>
      </c>
      <c r="J77" s="77">
        <v>5539.7</v>
      </c>
      <c r="K77" s="68">
        <v>0</v>
      </c>
      <c r="L77" s="69">
        <f t="shared" si="2"/>
        <v>923.28</v>
      </c>
      <c r="M77" s="273">
        <f t="shared" si="3"/>
        <v>0</v>
      </c>
      <c r="N77" s="71">
        <f t="shared" si="4"/>
        <v>6</v>
      </c>
      <c r="O77" s="72">
        <f t="shared" si="5"/>
        <v>923.28</v>
      </c>
      <c r="P77" s="274">
        <f t="shared" si="6"/>
        <v>5539.68</v>
      </c>
      <c r="Q77" s="237">
        <f t="shared" si="7"/>
        <v>6.35</v>
      </c>
      <c r="R77" s="185"/>
      <c r="S77" s="185"/>
      <c r="AA77" s="121">
        <f t="shared" si="9"/>
        <v>0.30000000000000004</v>
      </c>
      <c r="AB77" s="194">
        <f t="shared" si="8"/>
        <v>5.7</v>
      </c>
      <c r="AC77" s="185"/>
      <c r="AD77" s="191"/>
    </row>
    <row r="78" spans="1:31" s="121" customFormat="1" ht="12" x14ac:dyDescent="0.2">
      <c r="A78" s="121">
        <f t="shared" si="1"/>
        <v>1029.0239999999903</v>
      </c>
      <c r="B78" s="120"/>
      <c r="C78" s="56" t="s">
        <v>282</v>
      </c>
      <c r="D78" s="56" t="s">
        <v>96</v>
      </c>
      <c r="E78" s="57" t="s">
        <v>305</v>
      </c>
      <c r="F78" s="58" t="s">
        <v>306</v>
      </c>
      <c r="G78" s="59" t="s">
        <v>133</v>
      </c>
      <c r="H78" s="60">
        <v>172.14</v>
      </c>
      <c r="I78" s="61">
        <v>857.52</v>
      </c>
      <c r="J78" s="60">
        <v>147613.5</v>
      </c>
      <c r="K78" s="68">
        <v>1.1999999999999886</v>
      </c>
      <c r="L78" s="69">
        <f t="shared" si="2"/>
        <v>857.52</v>
      </c>
      <c r="M78" s="273">
        <f t="shared" si="3"/>
        <v>1029.0239999999903</v>
      </c>
      <c r="N78" s="71">
        <f t="shared" si="4"/>
        <v>173.33999999999997</v>
      </c>
      <c r="O78" s="72">
        <f t="shared" si="5"/>
        <v>857.52</v>
      </c>
      <c r="P78" s="274">
        <f t="shared" si="6"/>
        <v>148642.51679999998</v>
      </c>
      <c r="Q78" s="237">
        <v>182.5</v>
      </c>
      <c r="R78" s="185"/>
      <c r="S78" s="185"/>
      <c r="AA78" s="121">
        <f t="shared" si="9"/>
        <v>8.6069999999999993</v>
      </c>
      <c r="AB78" s="194">
        <f t="shared" si="8"/>
        <v>164.73299999999998</v>
      </c>
      <c r="AC78" s="185"/>
      <c r="AD78" s="191"/>
    </row>
    <row r="79" spans="1:31" s="121" customFormat="1" ht="12" x14ac:dyDescent="0.2">
      <c r="A79" s="121">
        <f t="shared" si="1"/>
        <v>3282.7919999999685</v>
      </c>
      <c r="B79" s="120"/>
      <c r="C79" s="73" t="s">
        <v>285</v>
      </c>
      <c r="D79" s="73" t="s">
        <v>209</v>
      </c>
      <c r="E79" s="74" t="s">
        <v>308</v>
      </c>
      <c r="F79" s="75" t="s">
        <v>309</v>
      </c>
      <c r="G79" s="76" t="s">
        <v>133</v>
      </c>
      <c r="H79" s="77">
        <v>172.14</v>
      </c>
      <c r="I79" s="78">
        <v>2735.66</v>
      </c>
      <c r="J79" s="77">
        <v>470916.5</v>
      </c>
      <c r="K79" s="68">
        <v>1.1999999999999886</v>
      </c>
      <c r="L79" s="69">
        <f t="shared" si="2"/>
        <v>2735.66</v>
      </c>
      <c r="M79" s="273">
        <f t="shared" si="3"/>
        <v>3282.7919999999685</v>
      </c>
      <c r="N79" s="71">
        <f t="shared" si="4"/>
        <v>173.33999999999997</v>
      </c>
      <c r="O79" s="72">
        <f t="shared" si="5"/>
        <v>2735.66</v>
      </c>
      <c r="P79" s="274">
        <f t="shared" si="6"/>
        <v>474199.30439999991</v>
      </c>
      <c r="Q79" s="237">
        <v>182.5</v>
      </c>
      <c r="R79" s="185"/>
      <c r="S79" s="185"/>
      <c r="AA79" s="121">
        <f t="shared" ref="AA79:AA110" si="10">0.05*H79</f>
        <v>8.6069999999999993</v>
      </c>
      <c r="AB79" s="194">
        <f t="shared" si="8"/>
        <v>164.73299999999998</v>
      </c>
      <c r="AC79" s="185"/>
      <c r="AD79" s="191"/>
    </row>
    <row r="80" spans="1:31" s="121" customFormat="1" ht="12" x14ac:dyDescent="0.2">
      <c r="A80" s="121">
        <f t="shared" ref="A80:A121" si="11">I80*K80</f>
        <v>0</v>
      </c>
      <c r="B80" s="120"/>
      <c r="C80" s="73" t="s">
        <v>289</v>
      </c>
      <c r="D80" s="73" t="s">
        <v>209</v>
      </c>
      <c r="E80" s="74" t="s">
        <v>311</v>
      </c>
      <c r="F80" s="75" t="s">
        <v>312</v>
      </c>
      <c r="G80" s="76" t="s">
        <v>99</v>
      </c>
      <c r="H80" s="77">
        <v>7</v>
      </c>
      <c r="I80" s="78">
        <v>1341.52</v>
      </c>
      <c r="J80" s="77">
        <v>9390.6</v>
      </c>
      <c r="K80" s="68">
        <v>0</v>
      </c>
      <c r="L80" s="69">
        <f t="shared" ref="L80:L121" si="12">I80</f>
        <v>1341.52</v>
      </c>
      <c r="M80" s="273">
        <f t="shared" ref="M80:M121" si="13">K80*L80</f>
        <v>0</v>
      </c>
      <c r="N80" s="71">
        <f t="shared" ref="N80:N121" si="14">K80+H80</f>
        <v>7</v>
      </c>
      <c r="O80" s="72">
        <f t="shared" ref="O80:O121" si="15">I80</f>
        <v>1341.52</v>
      </c>
      <c r="P80" s="274">
        <f t="shared" ref="P80:P121" si="16">N80*O80</f>
        <v>9390.64</v>
      </c>
      <c r="Q80" s="237">
        <f t="shared" ref="Q80:Q121" si="17">ROUND(1012/956.5*H80,2)</f>
        <v>7.41</v>
      </c>
      <c r="R80" s="185"/>
      <c r="S80" s="185"/>
      <c r="AA80" s="121">
        <f t="shared" si="10"/>
        <v>0.35000000000000003</v>
      </c>
      <c r="AB80" s="194">
        <f t="shared" ref="AB80:AB121" si="18">N80-AA80</f>
        <v>6.65</v>
      </c>
      <c r="AC80" s="185"/>
      <c r="AD80" s="191"/>
    </row>
    <row r="81" spans="1:31" s="121" customFormat="1" ht="12" x14ac:dyDescent="0.2">
      <c r="A81" s="121">
        <f t="shared" si="11"/>
        <v>0</v>
      </c>
      <c r="B81" s="120"/>
      <c r="C81" s="56" t="s">
        <v>292</v>
      </c>
      <c r="D81" s="56" t="s">
        <v>96</v>
      </c>
      <c r="E81" s="57" t="s">
        <v>314</v>
      </c>
      <c r="F81" s="58" t="s">
        <v>315</v>
      </c>
      <c r="G81" s="59" t="s">
        <v>99</v>
      </c>
      <c r="H81" s="60">
        <v>8</v>
      </c>
      <c r="I81" s="61">
        <v>195.97</v>
      </c>
      <c r="J81" s="60">
        <v>1567.8</v>
      </c>
      <c r="K81" s="68">
        <v>0</v>
      </c>
      <c r="L81" s="69">
        <f t="shared" si="12"/>
        <v>195.97</v>
      </c>
      <c r="M81" s="273">
        <f t="shared" si="13"/>
        <v>0</v>
      </c>
      <c r="N81" s="71">
        <f t="shared" si="14"/>
        <v>8</v>
      </c>
      <c r="O81" s="72">
        <f t="shared" si="15"/>
        <v>195.97</v>
      </c>
      <c r="P81" s="274">
        <f t="shared" si="16"/>
        <v>1567.76</v>
      </c>
      <c r="Q81" s="237">
        <f t="shared" si="17"/>
        <v>8.4600000000000009</v>
      </c>
      <c r="R81" s="185"/>
      <c r="S81" s="185"/>
      <c r="AA81" s="121">
        <f t="shared" si="10"/>
        <v>0.4</v>
      </c>
      <c r="AB81" s="194">
        <f t="shared" si="18"/>
        <v>7.6</v>
      </c>
      <c r="AC81" s="185"/>
      <c r="AD81" s="191"/>
    </row>
    <row r="82" spans="1:31" s="121" customFormat="1" ht="12" x14ac:dyDescent="0.2">
      <c r="A82" s="121">
        <f t="shared" si="11"/>
        <v>0</v>
      </c>
      <c r="B82" s="120"/>
      <c r="C82" s="73" t="s">
        <v>295</v>
      </c>
      <c r="D82" s="73" t="s">
        <v>209</v>
      </c>
      <c r="E82" s="74" t="s">
        <v>317</v>
      </c>
      <c r="F82" s="75" t="s">
        <v>318</v>
      </c>
      <c r="G82" s="76" t="s">
        <v>99</v>
      </c>
      <c r="H82" s="77">
        <v>8</v>
      </c>
      <c r="I82" s="78">
        <v>660.24</v>
      </c>
      <c r="J82" s="77">
        <v>5281.9</v>
      </c>
      <c r="K82" s="68">
        <v>0</v>
      </c>
      <c r="L82" s="69">
        <f t="shared" si="12"/>
        <v>660.24</v>
      </c>
      <c r="M82" s="273">
        <f t="shared" si="13"/>
        <v>0</v>
      </c>
      <c r="N82" s="71">
        <f t="shared" si="14"/>
        <v>8</v>
      </c>
      <c r="O82" s="72">
        <f t="shared" si="15"/>
        <v>660.24</v>
      </c>
      <c r="P82" s="274">
        <f t="shared" si="16"/>
        <v>5281.92</v>
      </c>
      <c r="Q82" s="237">
        <f t="shared" si="17"/>
        <v>8.4600000000000009</v>
      </c>
      <c r="R82" s="185"/>
      <c r="S82" s="185"/>
      <c r="AA82" s="121">
        <f t="shared" si="10"/>
        <v>0.4</v>
      </c>
      <c r="AB82" s="194">
        <f t="shared" si="18"/>
        <v>7.6</v>
      </c>
      <c r="AC82" s="185"/>
      <c r="AD82" s="191"/>
    </row>
    <row r="83" spans="1:31" s="121" customFormat="1" ht="12" x14ac:dyDescent="0.2">
      <c r="A83" s="121">
        <f t="shared" si="11"/>
        <v>0</v>
      </c>
      <c r="B83" s="120"/>
      <c r="C83" s="56" t="s">
        <v>298</v>
      </c>
      <c r="D83" s="56" t="s">
        <v>96</v>
      </c>
      <c r="E83" s="57" t="s">
        <v>320</v>
      </c>
      <c r="F83" s="58" t="s">
        <v>321</v>
      </c>
      <c r="G83" s="59" t="s">
        <v>99</v>
      </c>
      <c r="H83" s="60">
        <v>12</v>
      </c>
      <c r="I83" s="61">
        <v>260.41000000000003</v>
      </c>
      <c r="J83" s="60">
        <v>3124.9</v>
      </c>
      <c r="K83" s="68">
        <v>0</v>
      </c>
      <c r="L83" s="69">
        <f t="shared" si="12"/>
        <v>260.41000000000003</v>
      </c>
      <c r="M83" s="273">
        <f t="shared" si="13"/>
        <v>0</v>
      </c>
      <c r="N83" s="71">
        <f t="shared" si="14"/>
        <v>12</v>
      </c>
      <c r="O83" s="72">
        <f t="shared" si="15"/>
        <v>260.41000000000003</v>
      </c>
      <c r="P83" s="274">
        <f t="shared" si="16"/>
        <v>3124.92</v>
      </c>
      <c r="Q83" s="237">
        <f t="shared" si="17"/>
        <v>12.7</v>
      </c>
      <c r="R83" s="185"/>
      <c r="S83" s="185"/>
      <c r="AA83" s="121">
        <f t="shared" si="10"/>
        <v>0.60000000000000009</v>
      </c>
      <c r="AB83" s="194">
        <f t="shared" si="18"/>
        <v>11.4</v>
      </c>
      <c r="AC83" s="185"/>
      <c r="AD83" s="191"/>
    </row>
    <row r="84" spans="1:31" s="121" customFormat="1" ht="12" x14ac:dyDescent="0.2">
      <c r="A84" s="121">
        <f t="shared" si="11"/>
        <v>0</v>
      </c>
      <c r="B84" s="120"/>
      <c r="C84" s="73" t="s">
        <v>301</v>
      </c>
      <c r="D84" s="73" t="s">
        <v>209</v>
      </c>
      <c r="E84" s="74" t="s">
        <v>326</v>
      </c>
      <c r="F84" s="75" t="s">
        <v>327</v>
      </c>
      <c r="G84" s="76" t="s">
        <v>99</v>
      </c>
      <c r="H84" s="77">
        <v>12.18</v>
      </c>
      <c r="I84" s="78">
        <v>1801.85</v>
      </c>
      <c r="J84" s="77">
        <v>21946.5</v>
      </c>
      <c r="K84" s="68">
        <v>0</v>
      </c>
      <c r="L84" s="69">
        <f t="shared" si="12"/>
        <v>1801.85</v>
      </c>
      <c r="M84" s="273">
        <f t="shared" si="13"/>
        <v>0</v>
      </c>
      <c r="N84" s="71">
        <f t="shared" si="14"/>
        <v>12.18</v>
      </c>
      <c r="O84" s="72">
        <f t="shared" si="15"/>
        <v>1801.85</v>
      </c>
      <c r="P84" s="274">
        <f t="shared" si="16"/>
        <v>21946.532999999999</v>
      </c>
      <c r="Q84" s="237">
        <f t="shared" si="17"/>
        <v>12.89</v>
      </c>
      <c r="R84" s="185"/>
      <c r="S84" s="185"/>
      <c r="AA84" s="121">
        <f t="shared" si="10"/>
        <v>0.60899999999999999</v>
      </c>
      <c r="AB84" s="194">
        <f t="shared" si="18"/>
        <v>11.571</v>
      </c>
      <c r="AC84" s="185"/>
      <c r="AD84" s="191"/>
    </row>
    <row r="85" spans="1:31" s="121" customFormat="1" ht="12" x14ac:dyDescent="0.2">
      <c r="A85" s="121">
        <f t="shared" si="11"/>
        <v>0</v>
      </c>
      <c r="B85" s="120"/>
      <c r="C85" s="56" t="s">
        <v>304</v>
      </c>
      <c r="D85" s="56" t="s">
        <v>96</v>
      </c>
      <c r="E85" s="57" t="s">
        <v>329</v>
      </c>
      <c r="F85" s="58" t="s">
        <v>330</v>
      </c>
      <c r="G85" s="59" t="s">
        <v>99</v>
      </c>
      <c r="H85" s="60">
        <v>51</v>
      </c>
      <c r="I85" s="61">
        <v>219.64</v>
      </c>
      <c r="J85" s="60">
        <v>11201.6</v>
      </c>
      <c r="K85" s="68">
        <v>0</v>
      </c>
      <c r="L85" s="69">
        <f t="shared" si="12"/>
        <v>219.64</v>
      </c>
      <c r="M85" s="273">
        <f t="shared" si="13"/>
        <v>0</v>
      </c>
      <c r="N85" s="71">
        <f t="shared" si="14"/>
        <v>51</v>
      </c>
      <c r="O85" s="72">
        <f t="shared" si="15"/>
        <v>219.64</v>
      </c>
      <c r="P85" s="274">
        <f t="shared" si="16"/>
        <v>11201.64</v>
      </c>
      <c r="Q85" s="237">
        <f t="shared" si="17"/>
        <v>53.96</v>
      </c>
      <c r="R85" s="185"/>
      <c r="S85" s="185"/>
      <c r="AA85" s="121">
        <f t="shared" si="10"/>
        <v>2.5500000000000003</v>
      </c>
      <c r="AB85" s="194">
        <f t="shared" si="18"/>
        <v>48.45</v>
      </c>
      <c r="AC85" s="185"/>
      <c r="AD85" s="191"/>
    </row>
    <row r="86" spans="1:31" s="121" customFormat="1" ht="12" x14ac:dyDescent="0.2">
      <c r="A86" s="121">
        <f t="shared" si="11"/>
        <v>0</v>
      </c>
      <c r="B86" s="120"/>
      <c r="C86" s="73" t="s">
        <v>307</v>
      </c>
      <c r="D86" s="73" t="s">
        <v>209</v>
      </c>
      <c r="E86" s="74" t="s">
        <v>332</v>
      </c>
      <c r="F86" s="75" t="s">
        <v>333</v>
      </c>
      <c r="G86" s="76" t="s">
        <v>99</v>
      </c>
      <c r="H86" s="77">
        <v>25.38</v>
      </c>
      <c r="I86" s="78">
        <v>1129.77</v>
      </c>
      <c r="J86" s="77">
        <v>28673.599999999999</v>
      </c>
      <c r="K86" s="68">
        <v>0</v>
      </c>
      <c r="L86" s="69">
        <f t="shared" si="12"/>
        <v>1129.77</v>
      </c>
      <c r="M86" s="273">
        <f t="shared" si="13"/>
        <v>0</v>
      </c>
      <c r="N86" s="71">
        <f t="shared" si="14"/>
        <v>25.38</v>
      </c>
      <c r="O86" s="72">
        <f t="shared" si="15"/>
        <v>1129.77</v>
      </c>
      <c r="P86" s="274">
        <f t="shared" si="16"/>
        <v>28673.562599999997</v>
      </c>
      <c r="Q86" s="237">
        <f t="shared" si="17"/>
        <v>26.85</v>
      </c>
      <c r="R86" s="185"/>
      <c r="S86" s="185"/>
      <c r="AA86" s="121">
        <f t="shared" si="10"/>
        <v>1.2690000000000001</v>
      </c>
      <c r="AB86" s="194">
        <f t="shared" si="18"/>
        <v>24.110999999999997</v>
      </c>
      <c r="AC86" s="185"/>
      <c r="AD86" s="191"/>
    </row>
    <row r="87" spans="1:31" s="121" customFormat="1" ht="12" x14ac:dyDescent="0.2">
      <c r="A87" s="121">
        <f t="shared" si="11"/>
        <v>0</v>
      </c>
      <c r="B87" s="120"/>
      <c r="C87" s="73" t="s">
        <v>310</v>
      </c>
      <c r="D87" s="73" t="s">
        <v>209</v>
      </c>
      <c r="E87" s="74" t="s">
        <v>335</v>
      </c>
      <c r="F87" s="75" t="s">
        <v>336</v>
      </c>
      <c r="G87" s="76" t="s">
        <v>99</v>
      </c>
      <c r="H87" s="77">
        <v>26.39</v>
      </c>
      <c r="I87" s="78">
        <v>1129.77</v>
      </c>
      <c r="J87" s="77">
        <v>29814.6</v>
      </c>
      <c r="K87" s="68">
        <v>0</v>
      </c>
      <c r="L87" s="69">
        <f t="shared" si="12"/>
        <v>1129.77</v>
      </c>
      <c r="M87" s="273">
        <f t="shared" si="13"/>
        <v>0</v>
      </c>
      <c r="N87" s="71">
        <f t="shared" si="14"/>
        <v>26.39</v>
      </c>
      <c r="O87" s="72">
        <f t="shared" si="15"/>
        <v>1129.77</v>
      </c>
      <c r="P87" s="274">
        <f t="shared" si="16"/>
        <v>29814.630300000001</v>
      </c>
      <c r="Q87" s="237">
        <f t="shared" si="17"/>
        <v>27.92</v>
      </c>
      <c r="R87" s="185"/>
      <c r="S87" s="185"/>
      <c r="AA87" s="121">
        <f t="shared" si="10"/>
        <v>1.3195000000000001</v>
      </c>
      <c r="AB87" s="194">
        <f t="shared" si="18"/>
        <v>25.070499999999999</v>
      </c>
      <c r="AC87" s="185"/>
      <c r="AD87" s="191"/>
    </row>
    <row r="88" spans="1:31" s="121" customFormat="1" ht="12" x14ac:dyDescent="0.2">
      <c r="A88" s="121">
        <f t="shared" si="11"/>
        <v>0</v>
      </c>
      <c r="B88" s="120"/>
      <c r="C88" s="56" t="s">
        <v>313</v>
      </c>
      <c r="D88" s="56" t="s">
        <v>96</v>
      </c>
      <c r="E88" s="57" t="s">
        <v>459</v>
      </c>
      <c r="F88" s="58" t="s">
        <v>460</v>
      </c>
      <c r="G88" s="59" t="s">
        <v>99</v>
      </c>
      <c r="H88" s="60">
        <v>9</v>
      </c>
      <c r="I88" s="61">
        <v>473.48</v>
      </c>
      <c r="J88" s="60">
        <v>4261.3</v>
      </c>
      <c r="K88" s="68">
        <v>0</v>
      </c>
      <c r="L88" s="69">
        <f t="shared" si="12"/>
        <v>473.48</v>
      </c>
      <c r="M88" s="273">
        <f t="shared" si="13"/>
        <v>0</v>
      </c>
      <c r="N88" s="71">
        <f t="shared" si="14"/>
        <v>9</v>
      </c>
      <c r="O88" s="72">
        <f t="shared" si="15"/>
        <v>473.48</v>
      </c>
      <c r="P88" s="274">
        <f t="shared" si="16"/>
        <v>4261.32</v>
      </c>
      <c r="Q88" s="237">
        <f t="shared" si="17"/>
        <v>9.52</v>
      </c>
      <c r="R88" s="185"/>
      <c r="S88" s="185"/>
      <c r="AA88" s="121">
        <f t="shared" si="10"/>
        <v>0.45</v>
      </c>
      <c r="AB88" s="194">
        <f t="shared" si="18"/>
        <v>8.5500000000000007</v>
      </c>
      <c r="AC88" s="185"/>
      <c r="AD88" s="191"/>
    </row>
    <row r="89" spans="1:31" s="121" customFormat="1" ht="12" x14ac:dyDescent="0.2">
      <c r="A89" s="121">
        <f t="shared" si="11"/>
        <v>0</v>
      </c>
      <c r="B89" s="120"/>
      <c r="C89" s="73" t="s">
        <v>316</v>
      </c>
      <c r="D89" s="73" t="s">
        <v>209</v>
      </c>
      <c r="E89" s="74" t="s">
        <v>461</v>
      </c>
      <c r="F89" s="75" t="s">
        <v>462</v>
      </c>
      <c r="G89" s="76" t="s">
        <v>99</v>
      </c>
      <c r="H89" s="77">
        <v>5.08</v>
      </c>
      <c r="I89" s="78">
        <v>1462.52</v>
      </c>
      <c r="J89" s="77">
        <v>7429.6</v>
      </c>
      <c r="K89" s="68">
        <v>0</v>
      </c>
      <c r="L89" s="69">
        <f t="shared" si="12"/>
        <v>1462.52</v>
      </c>
      <c r="M89" s="273">
        <f t="shared" si="13"/>
        <v>0</v>
      </c>
      <c r="N89" s="71">
        <f t="shared" si="14"/>
        <v>5.08</v>
      </c>
      <c r="O89" s="72">
        <f t="shared" si="15"/>
        <v>1462.52</v>
      </c>
      <c r="P89" s="274">
        <f t="shared" si="16"/>
        <v>7429.6016</v>
      </c>
      <c r="Q89" s="237">
        <f t="shared" si="17"/>
        <v>5.37</v>
      </c>
      <c r="R89" s="185"/>
      <c r="S89" s="185"/>
      <c r="AA89" s="121">
        <f t="shared" si="10"/>
        <v>0.254</v>
      </c>
      <c r="AB89" s="194">
        <f t="shared" si="18"/>
        <v>4.8260000000000005</v>
      </c>
      <c r="AC89" s="185"/>
      <c r="AD89" s="191"/>
    </row>
    <row r="90" spans="1:31" s="121" customFormat="1" ht="12" x14ac:dyDescent="0.2">
      <c r="A90" s="121">
        <f t="shared" si="11"/>
        <v>0</v>
      </c>
      <c r="B90" s="120"/>
      <c r="C90" s="73" t="s">
        <v>319</v>
      </c>
      <c r="D90" s="73" t="s">
        <v>209</v>
      </c>
      <c r="E90" s="74" t="s">
        <v>463</v>
      </c>
      <c r="F90" s="75" t="s">
        <v>464</v>
      </c>
      <c r="G90" s="76" t="s">
        <v>99</v>
      </c>
      <c r="H90" s="77">
        <v>4.0599999999999996</v>
      </c>
      <c r="I90" s="78">
        <v>1462.52</v>
      </c>
      <c r="J90" s="77">
        <v>5937.8</v>
      </c>
      <c r="K90" s="68">
        <v>0</v>
      </c>
      <c r="L90" s="69">
        <f t="shared" si="12"/>
        <v>1462.52</v>
      </c>
      <c r="M90" s="273">
        <f t="shared" si="13"/>
        <v>0</v>
      </c>
      <c r="N90" s="71">
        <f t="shared" si="14"/>
        <v>4.0599999999999996</v>
      </c>
      <c r="O90" s="72">
        <f t="shared" si="15"/>
        <v>1462.52</v>
      </c>
      <c r="P90" s="274">
        <f t="shared" si="16"/>
        <v>5937.8311999999996</v>
      </c>
      <c r="Q90" s="237">
        <f t="shared" si="17"/>
        <v>4.3</v>
      </c>
      <c r="R90" s="185"/>
      <c r="S90" s="185"/>
      <c r="AA90" s="121">
        <f t="shared" si="10"/>
        <v>0.20299999999999999</v>
      </c>
      <c r="AB90" s="194">
        <f t="shared" si="18"/>
        <v>3.8569999999999998</v>
      </c>
      <c r="AC90" s="185"/>
      <c r="AD90" s="191"/>
    </row>
    <row r="91" spans="1:31" s="121" customFormat="1" ht="12" x14ac:dyDescent="0.2">
      <c r="A91" s="121">
        <f t="shared" si="11"/>
        <v>0</v>
      </c>
      <c r="B91" s="120"/>
      <c r="C91" s="56" t="s">
        <v>322</v>
      </c>
      <c r="D91" s="56" t="s">
        <v>96</v>
      </c>
      <c r="E91" s="57" t="s">
        <v>338</v>
      </c>
      <c r="F91" s="58" t="s">
        <v>339</v>
      </c>
      <c r="G91" s="59" t="s">
        <v>99</v>
      </c>
      <c r="H91" s="60">
        <v>13</v>
      </c>
      <c r="I91" s="61">
        <v>531.35</v>
      </c>
      <c r="J91" s="60">
        <v>6907.6</v>
      </c>
      <c r="K91" s="68">
        <v>0</v>
      </c>
      <c r="L91" s="69">
        <f t="shared" si="12"/>
        <v>531.35</v>
      </c>
      <c r="M91" s="273">
        <f t="shared" si="13"/>
        <v>0</v>
      </c>
      <c r="N91" s="71">
        <f t="shared" si="14"/>
        <v>13</v>
      </c>
      <c r="O91" s="72">
        <f t="shared" si="15"/>
        <v>531.35</v>
      </c>
      <c r="P91" s="274">
        <f t="shared" si="16"/>
        <v>6907.55</v>
      </c>
      <c r="Q91" s="237">
        <f t="shared" si="17"/>
        <v>13.75</v>
      </c>
      <c r="R91" s="185"/>
      <c r="S91" s="185"/>
      <c r="AA91" s="121">
        <f t="shared" si="10"/>
        <v>0.65</v>
      </c>
      <c r="AB91" s="194">
        <f t="shared" si="18"/>
        <v>12.35</v>
      </c>
      <c r="AC91" s="185"/>
      <c r="AD91" s="191"/>
    </row>
    <row r="92" spans="1:31" s="121" customFormat="1" ht="12" x14ac:dyDescent="0.2">
      <c r="A92" s="121">
        <f t="shared" si="11"/>
        <v>0</v>
      </c>
      <c r="B92" s="120"/>
      <c r="C92" s="73" t="s">
        <v>325</v>
      </c>
      <c r="D92" s="73" t="s">
        <v>209</v>
      </c>
      <c r="E92" s="74" t="s">
        <v>341</v>
      </c>
      <c r="F92" s="75" t="s">
        <v>342</v>
      </c>
      <c r="G92" s="76" t="s">
        <v>99</v>
      </c>
      <c r="H92" s="77">
        <v>6.09</v>
      </c>
      <c r="I92" s="78">
        <v>2423.9499999999998</v>
      </c>
      <c r="J92" s="77">
        <v>14761.9</v>
      </c>
      <c r="K92" s="68">
        <v>0</v>
      </c>
      <c r="L92" s="69">
        <f t="shared" si="12"/>
        <v>2423.9499999999998</v>
      </c>
      <c r="M92" s="273">
        <f t="shared" si="13"/>
        <v>0</v>
      </c>
      <c r="N92" s="71">
        <f t="shared" si="14"/>
        <v>6.09</v>
      </c>
      <c r="O92" s="72">
        <f t="shared" si="15"/>
        <v>2423.9499999999998</v>
      </c>
      <c r="P92" s="274">
        <f t="shared" si="16"/>
        <v>14761.855499999998</v>
      </c>
      <c r="Q92" s="237">
        <f t="shared" si="17"/>
        <v>6.44</v>
      </c>
      <c r="R92" s="185"/>
      <c r="S92" s="185"/>
      <c r="AA92" s="121">
        <f t="shared" si="10"/>
        <v>0.30449999999999999</v>
      </c>
      <c r="AB92" s="194">
        <f t="shared" si="18"/>
        <v>5.7854999999999999</v>
      </c>
      <c r="AC92" s="344"/>
      <c r="AD92" s="191"/>
    </row>
    <row r="93" spans="1:31" s="121" customFormat="1" ht="12" x14ac:dyDescent="0.2">
      <c r="A93" s="121">
        <f t="shared" si="11"/>
        <v>0</v>
      </c>
      <c r="B93" s="120"/>
      <c r="C93" s="73" t="s">
        <v>328</v>
      </c>
      <c r="D93" s="73" t="s">
        <v>209</v>
      </c>
      <c r="E93" s="74" t="s">
        <v>344</v>
      </c>
      <c r="F93" s="75" t="s">
        <v>345</v>
      </c>
      <c r="G93" s="76" t="s">
        <v>99</v>
      </c>
      <c r="H93" s="77">
        <v>7.11</v>
      </c>
      <c r="I93" s="78">
        <v>2305.58</v>
      </c>
      <c r="J93" s="77">
        <v>16392.7</v>
      </c>
      <c r="K93" s="68">
        <v>0</v>
      </c>
      <c r="L93" s="69">
        <f t="shared" si="12"/>
        <v>2305.58</v>
      </c>
      <c r="M93" s="273">
        <f t="shared" si="13"/>
        <v>0</v>
      </c>
      <c r="N93" s="71">
        <f t="shared" si="14"/>
        <v>7.11</v>
      </c>
      <c r="O93" s="72">
        <f t="shared" si="15"/>
        <v>2305.58</v>
      </c>
      <c r="P93" s="274">
        <f t="shared" si="16"/>
        <v>16392.6738</v>
      </c>
      <c r="Q93" s="237">
        <f t="shared" si="17"/>
        <v>7.52</v>
      </c>
      <c r="R93" s="185"/>
      <c r="S93" s="185"/>
      <c r="AA93" s="121">
        <f t="shared" si="10"/>
        <v>0.35550000000000004</v>
      </c>
      <c r="AB93" s="194">
        <f t="shared" si="18"/>
        <v>6.7545000000000002</v>
      </c>
      <c r="AC93" s="344"/>
      <c r="AD93" s="191"/>
    </row>
    <row r="94" spans="1:31" s="121" customFormat="1" ht="33.75" x14ac:dyDescent="0.2">
      <c r="A94" s="121">
        <f t="shared" si="11"/>
        <v>34</v>
      </c>
      <c r="B94" s="120"/>
      <c r="C94" s="56" t="s">
        <v>331</v>
      </c>
      <c r="D94" s="56" t="s">
        <v>96</v>
      </c>
      <c r="E94" s="57" t="s">
        <v>347</v>
      </c>
      <c r="F94" s="58" t="s">
        <v>348</v>
      </c>
      <c r="G94" s="59" t="s">
        <v>133</v>
      </c>
      <c r="H94" s="60">
        <v>956.5</v>
      </c>
      <c r="I94" s="61">
        <v>68</v>
      </c>
      <c r="J94" s="60">
        <v>65042</v>
      </c>
      <c r="K94" s="68">
        <v>0.5</v>
      </c>
      <c r="L94" s="69">
        <f t="shared" si="12"/>
        <v>68</v>
      </c>
      <c r="M94" s="273">
        <f t="shared" si="13"/>
        <v>34</v>
      </c>
      <c r="N94" s="71">
        <f t="shared" si="14"/>
        <v>957</v>
      </c>
      <c r="O94" s="72">
        <f t="shared" si="15"/>
        <v>68</v>
      </c>
      <c r="P94" s="274">
        <f t="shared" si="16"/>
        <v>65076</v>
      </c>
      <c r="Q94" s="237">
        <f t="shared" si="17"/>
        <v>1012</v>
      </c>
      <c r="R94" s="185"/>
      <c r="S94" s="185"/>
      <c r="AA94" s="121">
        <f t="shared" si="10"/>
        <v>47.825000000000003</v>
      </c>
      <c r="AB94" s="194">
        <f t="shared" si="18"/>
        <v>909.17499999999995</v>
      </c>
      <c r="AC94" s="186" t="s">
        <v>1195</v>
      </c>
      <c r="AD94" s="191" t="s">
        <v>1203</v>
      </c>
      <c r="AE94" s="121" t="s">
        <v>1081</v>
      </c>
    </row>
    <row r="95" spans="1:31" s="121" customFormat="1" ht="12" x14ac:dyDescent="0.2">
      <c r="A95" s="121">
        <f t="shared" si="11"/>
        <v>0</v>
      </c>
      <c r="B95" s="120"/>
      <c r="C95" s="56" t="s">
        <v>334</v>
      </c>
      <c r="D95" s="56" t="s">
        <v>96</v>
      </c>
      <c r="E95" s="57" t="s">
        <v>350</v>
      </c>
      <c r="F95" s="58" t="s">
        <v>351</v>
      </c>
      <c r="G95" s="59" t="s">
        <v>99</v>
      </c>
      <c r="H95" s="60">
        <v>58</v>
      </c>
      <c r="I95" s="61">
        <v>808.86</v>
      </c>
      <c r="J95" s="60">
        <v>46913.9</v>
      </c>
      <c r="K95" s="68">
        <v>0</v>
      </c>
      <c r="L95" s="69">
        <f t="shared" si="12"/>
        <v>808.86</v>
      </c>
      <c r="M95" s="273">
        <f t="shared" si="13"/>
        <v>0</v>
      </c>
      <c r="N95" s="71">
        <f t="shared" si="14"/>
        <v>58</v>
      </c>
      <c r="O95" s="72">
        <f t="shared" si="15"/>
        <v>808.86</v>
      </c>
      <c r="P95" s="274">
        <f t="shared" si="16"/>
        <v>46913.88</v>
      </c>
      <c r="Q95" s="237">
        <f t="shared" si="17"/>
        <v>61.37</v>
      </c>
      <c r="R95" s="185"/>
      <c r="S95" s="185"/>
      <c r="AA95" s="121">
        <f t="shared" si="10"/>
        <v>2.9000000000000004</v>
      </c>
      <c r="AB95" s="194">
        <f t="shared" si="18"/>
        <v>55.1</v>
      </c>
      <c r="AC95" s="185"/>
      <c r="AD95" s="191"/>
    </row>
    <row r="96" spans="1:31" s="121" customFormat="1" ht="12" x14ac:dyDescent="0.2">
      <c r="A96" s="121">
        <f t="shared" si="11"/>
        <v>0</v>
      </c>
      <c r="B96" s="120"/>
      <c r="C96" s="73" t="s">
        <v>337</v>
      </c>
      <c r="D96" s="73" t="s">
        <v>209</v>
      </c>
      <c r="E96" s="74" t="s">
        <v>353</v>
      </c>
      <c r="F96" s="75" t="s">
        <v>354</v>
      </c>
      <c r="G96" s="76" t="s">
        <v>99</v>
      </c>
      <c r="H96" s="77">
        <v>23</v>
      </c>
      <c r="I96" s="78">
        <v>3481.39</v>
      </c>
      <c r="J96" s="77">
        <v>80072</v>
      </c>
      <c r="K96" s="68">
        <v>0</v>
      </c>
      <c r="L96" s="69">
        <f t="shared" si="12"/>
        <v>3481.39</v>
      </c>
      <c r="M96" s="273">
        <f t="shared" si="13"/>
        <v>0</v>
      </c>
      <c r="N96" s="71">
        <f t="shared" si="14"/>
        <v>23</v>
      </c>
      <c r="O96" s="72">
        <f t="shared" si="15"/>
        <v>3481.39</v>
      </c>
      <c r="P96" s="274">
        <f t="shared" si="16"/>
        <v>80071.97</v>
      </c>
      <c r="Q96" s="237">
        <f t="shared" si="17"/>
        <v>24.33</v>
      </c>
      <c r="R96" s="185"/>
      <c r="S96" s="185"/>
      <c r="AA96" s="121">
        <f t="shared" si="10"/>
        <v>1.1500000000000001</v>
      </c>
      <c r="AB96" s="194">
        <f t="shared" si="18"/>
        <v>21.85</v>
      </c>
      <c r="AC96" s="185"/>
      <c r="AD96" s="191"/>
    </row>
    <row r="97" spans="1:30" s="121" customFormat="1" ht="12" x14ac:dyDescent="0.2">
      <c r="A97" s="121">
        <f t="shared" si="11"/>
        <v>0</v>
      </c>
      <c r="B97" s="120"/>
      <c r="C97" s="73" t="s">
        <v>340</v>
      </c>
      <c r="D97" s="73" t="s">
        <v>209</v>
      </c>
      <c r="E97" s="74" t="s">
        <v>356</v>
      </c>
      <c r="F97" s="75" t="s">
        <v>357</v>
      </c>
      <c r="G97" s="76" t="s">
        <v>99</v>
      </c>
      <c r="H97" s="77">
        <v>19</v>
      </c>
      <c r="I97" s="78">
        <v>1202.1099999999999</v>
      </c>
      <c r="J97" s="77">
        <v>22840.1</v>
      </c>
      <c r="K97" s="68">
        <v>0</v>
      </c>
      <c r="L97" s="69">
        <f t="shared" si="12"/>
        <v>1202.1099999999999</v>
      </c>
      <c r="M97" s="273">
        <f t="shared" si="13"/>
        <v>0</v>
      </c>
      <c r="N97" s="71">
        <f t="shared" si="14"/>
        <v>19</v>
      </c>
      <c r="O97" s="72">
        <f t="shared" si="15"/>
        <v>1202.1099999999999</v>
      </c>
      <c r="P97" s="274">
        <f t="shared" si="16"/>
        <v>22840.089999999997</v>
      </c>
      <c r="Q97" s="237">
        <f t="shared" si="17"/>
        <v>20.100000000000001</v>
      </c>
      <c r="R97" s="185"/>
      <c r="S97" s="185"/>
      <c r="AA97" s="121">
        <f t="shared" si="10"/>
        <v>0.95000000000000007</v>
      </c>
      <c r="AB97" s="194">
        <f t="shared" si="18"/>
        <v>18.05</v>
      </c>
      <c r="AC97" s="185"/>
      <c r="AD97" s="191"/>
    </row>
    <row r="98" spans="1:30" s="121" customFormat="1" ht="12" x14ac:dyDescent="0.2">
      <c r="A98" s="121">
        <f t="shared" si="11"/>
        <v>0</v>
      </c>
      <c r="B98" s="120"/>
      <c r="C98" s="73" t="s">
        <v>343</v>
      </c>
      <c r="D98" s="73" t="s">
        <v>209</v>
      </c>
      <c r="E98" s="74" t="s">
        <v>359</v>
      </c>
      <c r="F98" s="75" t="s">
        <v>360</v>
      </c>
      <c r="G98" s="76" t="s">
        <v>99</v>
      </c>
      <c r="H98" s="77">
        <v>16</v>
      </c>
      <c r="I98" s="78">
        <v>775.98</v>
      </c>
      <c r="J98" s="77">
        <v>12415.7</v>
      </c>
      <c r="K98" s="68">
        <v>0</v>
      </c>
      <c r="L98" s="69">
        <f t="shared" si="12"/>
        <v>775.98</v>
      </c>
      <c r="M98" s="273">
        <f t="shared" si="13"/>
        <v>0</v>
      </c>
      <c r="N98" s="71">
        <f t="shared" si="14"/>
        <v>16</v>
      </c>
      <c r="O98" s="72">
        <f t="shared" si="15"/>
        <v>775.98</v>
      </c>
      <c r="P98" s="274">
        <f t="shared" si="16"/>
        <v>12415.68</v>
      </c>
      <c r="Q98" s="237">
        <f t="shared" si="17"/>
        <v>16.93</v>
      </c>
      <c r="R98" s="185"/>
      <c r="S98" s="185"/>
      <c r="AA98" s="121">
        <f t="shared" si="10"/>
        <v>0.8</v>
      </c>
      <c r="AB98" s="194">
        <f t="shared" si="18"/>
        <v>15.2</v>
      </c>
      <c r="AC98" s="185"/>
      <c r="AD98" s="191"/>
    </row>
    <row r="99" spans="1:30" s="121" customFormat="1" ht="12" x14ac:dyDescent="0.2">
      <c r="A99" s="121">
        <f t="shared" si="11"/>
        <v>0</v>
      </c>
      <c r="B99" s="120"/>
      <c r="C99" s="73" t="s">
        <v>346</v>
      </c>
      <c r="D99" s="73" t="s">
        <v>209</v>
      </c>
      <c r="E99" s="74" t="s">
        <v>362</v>
      </c>
      <c r="F99" s="75" t="s">
        <v>363</v>
      </c>
      <c r="G99" s="76" t="s">
        <v>99</v>
      </c>
      <c r="H99" s="77">
        <v>72</v>
      </c>
      <c r="I99" s="78">
        <v>211.75</v>
      </c>
      <c r="J99" s="77">
        <v>15246</v>
      </c>
      <c r="K99" s="68">
        <v>0</v>
      </c>
      <c r="L99" s="69">
        <f t="shared" si="12"/>
        <v>211.75</v>
      </c>
      <c r="M99" s="273">
        <f t="shared" si="13"/>
        <v>0</v>
      </c>
      <c r="N99" s="71">
        <f t="shared" si="14"/>
        <v>72</v>
      </c>
      <c r="O99" s="72">
        <f t="shared" si="15"/>
        <v>211.75</v>
      </c>
      <c r="P99" s="274">
        <f t="shared" si="16"/>
        <v>15246</v>
      </c>
      <c r="Q99" s="237">
        <f t="shared" si="17"/>
        <v>76.180000000000007</v>
      </c>
      <c r="R99" s="185"/>
      <c r="S99" s="185"/>
      <c r="AA99" s="121">
        <f t="shared" si="10"/>
        <v>3.6</v>
      </c>
      <c r="AB99" s="194">
        <f t="shared" si="18"/>
        <v>68.400000000000006</v>
      </c>
      <c r="AC99" s="185"/>
      <c r="AD99" s="191"/>
    </row>
    <row r="100" spans="1:30" s="121" customFormat="1" ht="12" x14ac:dyDescent="0.2">
      <c r="A100" s="121">
        <f t="shared" si="11"/>
        <v>0</v>
      </c>
      <c r="B100" s="120"/>
      <c r="C100" s="56" t="s">
        <v>349</v>
      </c>
      <c r="D100" s="56" t="s">
        <v>96</v>
      </c>
      <c r="E100" s="57" t="s">
        <v>365</v>
      </c>
      <c r="F100" s="58" t="s">
        <v>366</v>
      </c>
      <c r="G100" s="59" t="s">
        <v>99</v>
      </c>
      <c r="H100" s="60">
        <v>37</v>
      </c>
      <c r="I100" s="61">
        <v>808.86</v>
      </c>
      <c r="J100" s="60">
        <v>29927.8</v>
      </c>
      <c r="K100" s="68">
        <v>0</v>
      </c>
      <c r="L100" s="69">
        <f t="shared" si="12"/>
        <v>808.86</v>
      </c>
      <c r="M100" s="273">
        <f t="shared" si="13"/>
        <v>0</v>
      </c>
      <c r="N100" s="71">
        <f t="shared" si="14"/>
        <v>37</v>
      </c>
      <c r="O100" s="72">
        <f t="shared" si="15"/>
        <v>808.86</v>
      </c>
      <c r="P100" s="274">
        <f t="shared" si="16"/>
        <v>29927.82</v>
      </c>
      <c r="Q100" s="237">
        <f t="shared" si="17"/>
        <v>39.15</v>
      </c>
      <c r="R100" s="185"/>
      <c r="S100" s="185"/>
      <c r="AA100" s="121">
        <f t="shared" si="10"/>
        <v>1.85</v>
      </c>
      <c r="AB100" s="194">
        <f t="shared" si="18"/>
        <v>35.15</v>
      </c>
      <c r="AC100" s="185"/>
      <c r="AD100" s="191"/>
    </row>
    <row r="101" spans="1:30" s="121" customFormat="1" ht="12" x14ac:dyDescent="0.2">
      <c r="A101" s="121">
        <f t="shared" si="11"/>
        <v>0</v>
      </c>
      <c r="B101" s="120"/>
      <c r="C101" s="73" t="s">
        <v>352</v>
      </c>
      <c r="D101" s="73" t="s">
        <v>209</v>
      </c>
      <c r="E101" s="74" t="s">
        <v>368</v>
      </c>
      <c r="F101" s="75" t="s">
        <v>369</v>
      </c>
      <c r="G101" s="76" t="s">
        <v>99</v>
      </c>
      <c r="H101" s="77">
        <v>37</v>
      </c>
      <c r="I101" s="78">
        <v>1530.92</v>
      </c>
      <c r="J101" s="77">
        <v>56644</v>
      </c>
      <c r="K101" s="68">
        <v>0</v>
      </c>
      <c r="L101" s="69">
        <f t="shared" si="12"/>
        <v>1530.92</v>
      </c>
      <c r="M101" s="273">
        <f t="shared" si="13"/>
        <v>0</v>
      </c>
      <c r="N101" s="71">
        <f t="shared" si="14"/>
        <v>37</v>
      </c>
      <c r="O101" s="72">
        <f t="shared" si="15"/>
        <v>1530.92</v>
      </c>
      <c r="P101" s="274">
        <f t="shared" si="16"/>
        <v>56644.04</v>
      </c>
      <c r="Q101" s="237">
        <f t="shared" si="17"/>
        <v>39.15</v>
      </c>
      <c r="R101" s="185"/>
      <c r="S101" s="185"/>
      <c r="AA101" s="121">
        <f t="shared" si="10"/>
        <v>1.85</v>
      </c>
      <c r="AB101" s="194">
        <f t="shared" si="18"/>
        <v>35.15</v>
      </c>
      <c r="AC101" s="185"/>
      <c r="AD101" s="191"/>
    </row>
    <row r="102" spans="1:30" s="121" customFormat="1" ht="12" x14ac:dyDescent="0.2">
      <c r="A102" s="121">
        <f t="shared" si="11"/>
        <v>0</v>
      </c>
      <c r="B102" s="120"/>
      <c r="C102" s="56" t="s">
        <v>355</v>
      </c>
      <c r="D102" s="56" t="s">
        <v>96</v>
      </c>
      <c r="E102" s="57" t="s">
        <v>371</v>
      </c>
      <c r="F102" s="58" t="s">
        <v>372</v>
      </c>
      <c r="G102" s="59" t="s">
        <v>99</v>
      </c>
      <c r="H102" s="60">
        <v>37</v>
      </c>
      <c r="I102" s="61">
        <v>3234.12</v>
      </c>
      <c r="J102" s="60">
        <v>119662.39999999999</v>
      </c>
      <c r="K102" s="68">
        <v>0</v>
      </c>
      <c r="L102" s="69">
        <f t="shared" si="12"/>
        <v>3234.12</v>
      </c>
      <c r="M102" s="273">
        <f t="shared" si="13"/>
        <v>0</v>
      </c>
      <c r="N102" s="71">
        <f t="shared" si="14"/>
        <v>37</v>
      </c>
      <c r="O102" s="72">
        <f t="shared" si="15"/>
        <v>3234.12</v>
      </c>
      <c r="P102" s="274">
        <f t="shared" si="16"/>
        <v>119662.44</v>
      </c>
      <c r="Q102" s="237">
        <f t="shared" si="17"/>
        <v>39.15</v>
      </c>
      <c r="R102" s="185"/>
      <c r="S102" s="185"/>
      <c r="AA102" s="121">
        <f t="shared" si="10"/>
        <v>1.85</v>
      </c>
      <c r="AB102" s="194">
        <f t="shared" si="18"/>
        <v>35.15</v>
      </c>
      <c r="AC102" s="185"/>
      <c r="AD102" s="191"/>
    </row>
    <row r="103" spans="1:30" s="121" customFormat="1" ht="12" x14ac:dyDescent="0.2">
      <c r="A103" s="121">
        <f t="shared" si="11"/>
        <v>0</v>
      </c>
      <c r="B103" s="120"/>
      <c r="C103" s="73" t="s">
        <v>358</v>
      </c>
      <c r="D103" s="73" t="s">
        <v>209</v>
      </c>
      <c r="E103" s="74" t="s">
        <v>374</v>
      </c>
      <c r="F103" s="75" t="s">
        <v>375</v>
      </c>
      <c r="G103" s="76" t="s">
        <v>99</v>
      </c>
      <c r="H103" s="77">
        <v>37</v>
      </c>
      <c r="I103" s="78">
        <v>14588.41</v>
      </c>
      <c r="J103" s="77">
        <v>539771.19999999995</v>
      </c>
      <c r="K103" s="68">
        <v>0</v>
      </c>
      <c r="L103" s="69">
        <f t="shared" si="12"/>
        <v>14588.41</v>
      </c>
      <c r="M103" s="273">
        <f t="shared" si="13"/>
        <v>0</v>
      </c>
      <c r="N103" s="71">
        <f t="shared" si="14"/>
        <v>37</v>
      </c>
      <c r="O103" s="72">
        <f t="shared" si="15"/>
        <v>14588.41</v>
      </c>
      <c r="P103" s="274">
        <f t="shared" si="16"/>
        <v>539771.17000000004</v>
      </c>
      <c r="Q103" s="237">
        <f t="shared" si="17"/>
        <v>39.15</v>
      </c>
      <c r="R103" s="185"/>
      <c r="S103" s="185"/>
      <c r="AA103" s="121">
        <f t="shared" si="10"/>
        <v>1.85</v>
      </c>
      <c r="AB103" s="194">
        <f t="shared" si="18"/>
        <v>35.15</v>
      </c>
      <c r="AC103" s="185"/>
      <c r="AD103" s="191"/>
    </row>
    <row r="104" spans="1:30" s="121" customFormat="1" ht="12" x14ac:dyDescent="0.2">
      <c r="A104" s="121">
        <f t="shared" si="11"/>
        <v>0</v>
      </c>
      <c r="B104" s="120"/>
      <c r="C104" s="56" t="s">
        <v>361</v>
      </c>
      <c r="D104" s="56" t="s">
        <v>96</v>
      </c>
      <c r="E104" s="57" t="s">
        <v>377</v>
      </c>
      <c r="F104" s="58" t="s">
        <v>378</v>
      </c>
      <c r="G104" s="59" t="s">
        <v>99</v>
      </c>
      <c r="H104" s="60">
        <v>37</v>
      </c>
      <c r="I104" s="61">
        <v>485.32</v>
      </c>
      <c r="J104" s="60">
        <v>17956.8</v>
      </c>
      <c r="K104" s="68">
        <v>0</v>
      </c>
      <c r="L104" s="69">
        <f t="shared" si="12"/>
        <v>485.32</v>
      </c>
      <c r="M104" s="273">
        <f t="shared" si="13"/>
        <v>0</v>
      </c>
      <c r="N104" s="71">
        <f t="shared" si="14"/>
        <v>37</v>
      </c>
      <c r="O104" s="72">
        <f t="shared" si="15"/>
        <v>485.32</v>
      </c>
      <c r="P104" s="274">
        <f t="shared" si="16"/>
        <v>17956.84</v>
      </c>
      <c r="Q104" s="237">
        <f t="shared" si="17"/>
        <v>39.15</v>
      </c>
      <c r="R104" s="185"/>
      <c r="S104" s="185"/>
      <c r="AA104" s="121">
        <f t="shared" si="10"/>
        <v>1.85</v>
      </c>
      <c r="AB104" s="194">
        <f t="shared" si="18"/>
        <v>35.15</v>
      </c>
      <c r="AC104" s="185"/>
      <c r="AD104" s="191"/>
    </row>
    <row r="105" spans="1:30" s="121" customFormat="1" ht="12" x14ac:dyDescent="0.2">
      <c r="A105" s="121">
        <f t="shared" si="11"/>
        <v>0</v>
      </c>
      <c r="B105" s="120"/>
      <c r="C105" s="73" t="s">
        <v>364</v>
      </c>
      <c r="D105" s="73" t="s">
        <v>209</v>
      </c>
      <c r="E105" s="74" t="s">
        <v>380</v>
      </c>
      <c r="F105" s="75" t="s">
        <v>381</v>
      </c>
      <c r="G105" s="76" t="s">
        <v>99</v>
      </c>
      <c r="H105" s="77">
        <v>37</v>
      </c>
      <c r="I105" s="78">
        <v>6510.34</v>
      </c>
      <c r="J105" s="77">
        <v>240882.6</v>
      </c>
      <c r="K105" s="68">
        <v>0</v>
      </c>
      <c r="L105" s="69">
        <f t="shared" si="12"/>
        <v>6510.34</v>
      </c>
      <c r="M105" s="273">
        <f t="shared" si="13"/>
        <v>0</v>
      </c>
      <c r="N105" s="71">
        <f t="shared" si="14"/>
        <v>37</v>
      </c>
      <c r="O105" s="72">
        <f t="shared" si="15"/>
        <v>6510.34</v>
      </c>
      <c r="P105" s="274">
        <f t="shared" si="16"/>
        <v>240882.58000000002</v>
      </c>
      <c r="Q105" s="237">
        <f t="shared" si="17"/>
        <v>39.15</v>
      </c>
      <c r="R105" s="185"/>
      <c r="S105" s="185"/>
      <c r="AA105" s="121">
        <f t="shared" si="10"/>
        <v>1.85</v>
      </c>
      <c r="AB105" s="194">
        <f t="shared" si="18"/>
        <v>35.15</v>
      </c>
      <c r="AC105" s="185"/>
      <c r="AD105" s="191"/>
    </row>
    <row r="106" spans="1:30" s="121" customFormat="1" ht="12" x14ac:dyDescent="0.2">
      <c r="A106" s="121">
        <f t="shared" si="11"/>
        <v>4.6050000000000004</v>
      </c>
      <c r="B106" s="120"/>
      <c r="C106" s="56" t="s">
        <v>367</v>
      </c>
      <c r="D106" s="56" t="s">
        <v>96</v>
      </c>
      <c r="E106" s="57" t="s">
        <v>383</v>
      </c>
      <c r="F106" s="58" t="s">
        <v>384</v>
      </c>
      <c r="G106" s="59" t="s">
        <v>133</v>
      </c>
      <c r="H106" s="60">
        <v>956.5</v>
      </c>
      <c r="I106" s="61">
        <v>9.2100000000000009</v>
      </c>
      <c r="J106" s="60">
        <v>8809.4</v>
      </c>
      <c r="K106" s="68">
        <v>0.5</v>
      </c>
      <c r="L106" s="69">
        <f t="shared" si="12"/>
        <v>9.2100000000000009</v>
      </c>
      <c r="M106" s="273">
        <f t="shared" si="13"/>
        <v>4.6050000000000004</v>
      </c>
      <c r="N106" s="71">
        <f t="shared" si="14"/>
        <v>957</v>
      </c>
      <c r="O106" s="72">
        <f t="shared" si="15"/>
        <v>9.2100000000000009</v>
      </c>
      <c r="P106" s="274">
        <f t="shared" si="16"/>
        <v>8813.9700000000012</v>
      </c>
      <c r="Q106" s="237">
        <f t="shared" si="17"/>
        <v>1012</v>
      </c>
      <c r="R106" s="185"/>
      <c r="S106" s="185"/>
      <c r="AA106" s="121">
        <f t="shared" si="10"/>
        <v>47.825000000000003</v>
      </c>
      <c r="AB106" s="194">
        <f t="shared" si="18"/>
        <v>909.17499999999995</v>
      </c>
      <c r="AC106" s="185"/>
      <c r="AD106" s="191"/>
    </row>
    <row r="107" spans="1:30" s="170" customFormat="1" ht="12.75" x14ac:dyDescent="0.2">
      <c r="A107" s="121">
        <f t="shared" si="11"/>
        <v>0</v>
      </c>
      <c r="B107" s="165"/>
      <c r="C107" s="252"/>
      <c r="D107" s="253" t="s">
        <v>4</v>
      </c>
      <c r="E107" s="254" t="s">
        <v>118</v>
      </c>
      <c r="F107" s="254" t="s">
        <v>385</v>
      </c>
      <c r="G107" s="252"/>
      <c r="H107" s="252"/>
      <c r="I107" s="255"/>
      <c r="J107" s="256">
        <f>+SUBTOTAL(9,J108:J115)</f>
        <v>406605.1</v>
      </c>
      <c r="K107" s="261"/>
      <c r="L107" s="262"/>
      <c r="M107" s="279"/>
      <c r="N107" s="280"/>
      <c r="O107" s="262"/>
      <c r="P107" s="279">
        <f>SUM(P108:P115)</f>
        <v>406708.96239999996</v>
      </c>
      <c r="Q107" s="237">
        <f t="shared" si="17"/>
        <v>0</v>
      </c>
      <c r="R107" s="187"/>
      <c r="S107" s="187"/>
      <c r="AA107" s="121">
        <f t="shared" si="10"/>
        <v>0</v>
      </c>
      <c r="AB107" s="194">
        <f t="shared" si="18"/>
        <v>0</v>
      </c>
      <c r="AC107" s="187"/>
      <c r="AD107" s="218"/>
    </row>
    <row r="108" spans="1:30" s="121" customFormat="1" ht="12" x14ac:dyDescent="0.2">
      <c r="A108" s="121">
        <f t="shared" si="11"/>
        <v>0</v>
      </c>
      <c r="B108" s="120"/>
      <c r="C108" s="56" t="s">
        <v>370</v>
      </c>
      <c r="D108" s="56" t="s">
        <v>96</v>
      </c>
      <c r="E108" s="57" t="s">
        <v>387</v>
      </c>
      <c r="F108" s="58" t="s">
        <v>388</v>
      </c>
      <c r="G108" s="59" t="s">
        <v>133</v>
      </c>
      <c r="H108" s="60">
        <v>522</v>
      </c>
      <c r="I108" s="61">
        <v>87.65</v>
      </c>
      <c r="J108" s="60">
        <v>45753.3</v>
      </c>
      <c r="K108" s="68">
        <v>0</v>
      </c>
      <c r="L108" s="69">
        <f t="shared" si="12"/>
        <v>87.65</v>
      </c>
      <c r="M108" s="273">
        <f t="shared" si="13"/>
        <v>0</v>
      </c>
      <c r="N108" s="71">
        <f t="shared" si="14"/>
        <v>522</v>
      </c>
      <c r="O108" s="72">
        <f t="shared" si="15"/>
        <v>87.65</v>
      </c>
      <c r="P108" s="274">
        <f t="shared" si="16"/>
        <v>45753.3</v>
      </c>
      <c r="Q108" s="237">
        <f t="shared" si="17"/>
        <v>552.29</v>
      </c>
      <c r="R108" s="185"/>
      <c r="S108" s="185"/>
      <c r="AA108" s="121">
        <f t="shared" si="10"/>
        <v>26.1</v>
      </c>
      <c r="AB108" s="194">
        <f t="shared" si="18"/>
        <v>495.9</v>
      </c>
      <c r="AC108" s="185"/>
      <c r="AD108" s="191"/>
    </row>
    <row r="109" spans="1:30" s="121" customFormat="1" ht="12" x14ac:dyDescent="0.2">
      <c r="A109" s="121">
        <f t="shared" si="11"/>
        <v>0</v>
      </c>
      <c r="B109" s="120"/>
      <c r="C109" s="56" t="s">
        <v>373</v>
      </c>
      <c r="D109" s="56" t="s">
        <v>96</v>
      </c>
      <c r="E109" s="57" t="s">
        <v>390</v>
      </c>
      <c r="F109" s="58" t="s">
        <v>391</v>
      </c>
      <c r="G109" s="59" t="s">
        <v>133</v>
      </c>
      <c r="H109" s="60">
        <v>522</v>
      </c>
      <c r="I109" s="61">
        <v>72.34</v>
      </c>
      <c r="J109" s="60">
        <v>37761.5</v>
      </c>
      <c r="K109" s="68">
        <v>0</v>
      </c>
      <c r="L109" s="69">
        <f t="shared" si="12"/>
        <v>72.34</v>
      </c>
      <c r="M109" s="273">
        <f t="shared" si="13"/>
        <v>0</v>
      </c>
      <c r="N109" s="71">
        <f t="shared" si="14"/>
        <v>522</v>
      </c>
      <c r="O109" s="72">
        <f t="shared" si="15"/>
        <v>72.34</v>
      </c>
      <c r="P109" s="274">
        <f t="shared" si="16"/>
        <v>37761.480000000003</v>
      </c>
      <c r="Q109" s="237">
        <f t="shared" si="17"/>
        <v>552.29</v>
      </c>
      <c r="R109" s="185"/>
      <c r="S109" s="185"/>
      <c r="AA109" s="121">
        <f t="shared" si="10"/>
        <v>26.1</v>
      </c>
      <c r="AB109" s="194">
        <f t="shared" si="18"/>
        <v>495.9</v>
      </c>
      <c r="AC109" s="185"/>
      <c r="AD109" s="191"/>
    </row>
    <row r="110" spans="1:30" s="121" customFormat="1" ht="12" x14ac:dyDescent="0.2">
      <c r="A110" s="121">
        <f t="shared" si="11"/>
        <v>0</v>
      </c>
      <c r="B110" s="120"/>
      <c r="C110" s="56" t="s">
        <v>376</v>
      </c>
      <c r="D110" s="56" t="s">
        <v>96</v>
      </c>
      <c r="E110" s="57" t="s">
        <v>465</v>
      </c>
      <c r="F110" s="58" t="s">
        <v>466</v>
      </c>
      <c r="G110" s="59" t="s">
        <v>133</v>
      </c>
      <c r="H110" s="60">
        <v>230</v>
      </c>
      <c r="I110" s="61">
        <v>144.16</v>
      </c>
      <c r="J110" s="60">
        <v>33156.800000000003</v>
      </c>
      <c r="K110" s="68">
        <v>0</v>
      </c>
      <c r="L110" s="69">
        <f t="shared" si="12"/>
        <v>144.16</v>
      </c>
      <c r="M110" s="273">
        <f t="shared" si="13"/>
        <v>0</v>
      </c>
      <c r="N110" s="71">
        <f t="shared" si="14"/>
        <v>230</v>
      </c>
      <c r="O110" s="72">
        <f t="shared" si="15"/>
        <v>144.16</v>
      </c>
      <c r="P110" s="274">
        <f t="shared" si="16"/>
        <v>33156.799999999996</v>
      </c>
      <c r="Q110" s="237">
        <f t="shared" si="17"/>
        <v>243.35</v>
      </c>
      <c r="R110" s="185"/>
      <c r="S110" s="185"/>
      <c r="AA110" s="121">
        <f t="shared" si="10"/>
        <v>11.5</v>
      </c>
      <c r="AB110" s="194">
        <f t="shared" si="18"/>
        <v>218.5</v>
      </c>
      <c r="AC110" s="185"/>
      <c r="AD110" s="191"/>
    </row>
    <row r="111" spans="1:30" s="121" customFormat="1" ht="12" x14ac:dyDescent="0.2">
      <c r="A111" s="121">
        <f t="shared" si="11"/>
        <v>0</v>
      </c>
      <c r="B111" s="120"/>
      <c r="C111" s="73" t="s">
        <v>379</v>
      </c>
      <c r="D111" s="73" t="s">
        <v>209</v>
      </c>
      <c r="E111" s="74" t="s">
        <v>467</v>
      </c>
      <c r="F111" s="75" t="s">
        <v>468</v>
      </c>
      <c r="G111" s="76" t="s">
        <v>133</v>
      </c>
      <c r="H111" s="77">
        <v>230</v>
      </c>
      <c r="I111" s="78">
        <v>210.44</v>
      </c>
      <c r="J111" s="77">
        <v>48401.2</v>
      </c>
      <c r="K111" s="68">
        <v>0</v>
      </c>
      <c r="L111" s="69">
        <f t="shared" si="12"/>
        <v>210.44</v>
      </c>
      <c r="M111" s="273">
        <f t="shared" si="13"/>
        <v>0</v>
      </c>
      <c r="N111" s="71">
        <f t="shared" si="14"/>
        <v>230</v>
      </c>
      <c r="O111" s="72">
        <f t="shared" si="15"/>
        <v>210.44</v>
      </c>
      <c r="P111" s="274">
        <f t="shared" si="16"/>
        <v>48401.2</v>
      </c>
      <c r="Q111" s="237">
        <f t="shared" si="17"/>
        <v>243.35</v>
      </c>
      <c r="R111" s="185"/>
      <c r="S111" s="185"/>
      <c r="AA111" s="121">
        <f t="shared" ref="AA111:AA121" si="19">0.05*H111</f>
        <v>11.5</v>
      </c>
      <c r="AB111" s="194">
        <f t="shared" si="18"/>
        <v>218.5</v>
      </c>
      <c r="AC111" s="185"/>
      <c r="AD111" s="191"/>
    </row>
    <row r="112" spans="1:30" s="121" customFormat="1" ht="12" x14ac:dyDescent="0.2">
      <c r="A112" s="121">
        <f t="shared" si="11"/>
        <v>0</v>
      </c>
      <c r="B112" s="120"/>
      <c r="C112" s="56" t="s">
        <v>382</v>
      </c>
      <c r="D112" s="56" t="s">
        <v>96</v>
      </c>
      <c r="E112" s="57" t="s">
        <v>393</v>
      </c>
      <c r="F112" s="58" t="s">
        <v>394</v>
      </c>
      <c r="G112" s="59" t="s">
        <v>99</v>
      </c>
      <c r="H112" s="60">
        <v>8</v>
      </c>
      <c r="I112" s="61">
        <v>1148.19</v>
      </c>
      <c r="J112" s="60">
        <v>9185.5</v>
      </c>
      <c r="K112" s="68">
        <v>0</v>
      </c>
      <c r="L112" s="69">
        <f t="shared" si="12"/>
        <v>1148.19</v>
      </c>
      <c r="M112" s="273">
        <f t="shared" si="13"/>
        <v>0</v>
      </c>
      <c r="N112" s="71">
        <f t="shared" si="14"/>
        <v>8</v>
      </c>
      <c r="O112" s="72">
        <f t="shared" si="15"/>
        <v>1148.19</v>
      </c>
      <c r="P112" s="274">
        <f t="shared" si="16"/>
        <v>9185.52</v>
      </c>
      <c r="Q112" s="237">
        <f t="shared" si="17"/>
        <v>8.4600000000000009</v>
      </c>
      <c r="R112" s="185"/>
      <c r="S112" s="185"/>
      <c r="AA112" s="121">
        <f t="shared" si="19"/>
        <v>0.4</v>
      </c>
      <c r="AB112" s="194">
        <f t="shared" si="18"/>
        <v>7.6</v>
      </c>
      <c r="AC112" s="185"/>
      <c r="AD112" s="191"/>
    </row>
    <row r="113" spans="1:30" s="121" customFormat="1" ht="12" x14ac:dyDescent="0.2">
      <c r="A113" s="121">
        <f t="shared" si="11"/>
        <v>0</v>
      </c>
      <c r="B113" s="120"/>
      <c r="C113" s="56" t="s">
        <v>386</v>
      </c>
      <c r="D113" s="56" t="s">
        <v>96</v>
      </c>
      <c r="E113" s="57" t="s">
        <v>396</v>
      </c>
      <c r="F113" s="58" t="s">
        <v>397</v>
      </c>
      <c r="G113" s="59" t="s">
        <v>99</v>
      </c>
      <c r="H113" s="60">
        <v>8</v>
      </c>
      <c r="I113" s="61">
        <v>4465.17</v>
      </c>
      <c r="J113" s="60">
        <v>35721.4</v>
      </c>
      <c r="K113" s="68">
        <v>0</v>
      </c>
      <c r="L113" s="69">
        <f t="shared" si="12"/>
        <v>4465.17</v>
      </c>
      <c r="M113" s="273">
        <f t="shared" si="13"/>
        <v>0</v>
      </c>
      <c r="N113" s="71">
        <f t="shared" si="14"/>
        <v>8</v>
      </c>
      <c r="O113" s="72">
        <f t="shared" si="15"/>
        <v>4465.17</v>
      </c>
      <c r="P113" s="274">
        <f t="shared" si="16"/>
        <v>35721.360000000001</v>
      </c>
      <c r="Q113" s="237">
        <f t="shared" si="17"/>
        <v>8.4600000000000009</v>
      </c>
      <c r="R113" s="185"/>
      <c r="S113" s="185"/>
      <c r="AA113" s="121">
        <f t="shared" si="19"/>
        <v>0.4</v>
      </c>
      <c r="AB113" s="194">
        <f t="shared" si="18"/>
        <v>7.6</v>
      </c>
      <c r="AC113" s="188"/>
      <c r="AD113" s="191"/>
    </row>
    <row r="114" spans="1:30" s="121" customFormat="1" ht="12" x14ac:dyDescent="0.2">
      <c r="A114" s="121">
        <f t="shared" si="11"/>
        <v>59.184799999999996</v>
      </c>
      <c r="B114" s="120"/>
      <c r="C114" s="56" t="s">
        <v>389</v>
      </c>
      <c r="D114" s="56" t="s">
        <v>96</v>
      </c>
      <c r="E114" s="57" t="s">
        <v>469</v>
      </c>
      <c r="F114" s="58" t="s">
        <v>470</v>
      </c>
      <c r="G114" s="59" t="s">
        <v>133</v>
      </c>
      <c r="H114" s="60">
        <v>40</v>
      </c>
      <c r="I114" s="61">
        <v>2959.24</v>
      </c>
      <c r="J114" s="60">
        <v>118369.60000000001</v>
      </c>
      <c r="K114" s="68">
        <v>0.02</v>
      </c>
      <c r="L114" s="69">
        <f t="shared" si="12"/>
        <v>2959.24</v>
      </c>
      <c r="M114" s="273">
        <f t="shared" si="13"/>
        <v>59.184799999999996</v>
      </c>
      <c r="N114" s="71">
        <f t="shared" si="14"/>
        <v>40.020000000000003</v>
      </c>
      <c r="O114" s="72">
        <f t="shared" si="15"/>
        <v>2959.24</v>
      </c>
      <c r="P114" s="274">
        <f t="shared" si="16"/>
        <v>118428.78479999999</v>
      </c>
      <c r="Q114" s="237">
        <f t="shared" si="17"/>
        <v>42.32</v>
      </c>
      <c r="R114" s="185"/>
      <c r="S114" s="185"/>
      <c r="Y114" s="186" t="s">
        <v>1052</v>
      </c>
      <c r="Z114" s="121" t="s">
        <v>925</v>
      </c>
      <c r="AA114" s="121">
        <f t="shared" si="19"/>
        <v>2</v>
      </c>
      <c r="AB114" s="194">
        <f t="shared" si="18"/>
        <v>38.020000000000003</v>
      </c>
      <c r="AC114" s="185"/>
      <c r="AD114" s="191"/>
    </row>
    <row r="115" spans="1:30" s="121" customFormat="1" ht="22.5" x14ac:dyDescent="0.2">
      <c r="A115" s="121">
        <f t="shared" si="11"/>
        <v>44.717600000000004</v>
      </c>
      <c r="B115" s="120"/>
      <c r="C115" s="56" t="s">
        <v>392</v>
      </c>
      <c r="D115" s="56" t="s">
        <v>96</v>
      </c>
      <c r="E115" s="57" t="s">
        <v>471</v>
      </c>
      <c r="F115" s="58" t="s">
        <v>472</v>
      </c>
      <c r="G115" s="59" t="s">
        <v>133</v>
      </c>
      <c r="H115" s="60">
        <v>70</v>
      </c>
      <c r="I115" s="61">
        <v>1117.94</v>
      </c>
      <c r="J115" s="60">
        <v>78255.8</v>
      </c>
      <c r="K115" s="68">
        <v>0.04</v>
      </c>
      <c r="L115" s="69">
        <f t="shared" si="12"/>
        <v>1117.94</v>
      </c>
      <c r="M115" s="273">
        <f t="shared" si="13"/>
        <v>44.717600000000004</v>
      </c>
      <c r="N115" s="71">
        <f t="shared" si="14"/>
        <v>70.040000000000006</v>
      </c>
      <c r="O115" s="72">
        <f t="shared" si="15"/>
        <v>1117.94</v>
      </c>
      <c r="P115" s="274">
        <f t="shared" si="16"/>
        <v>78300.517600000006</v>
      </c>
      <c r="Q115" s="237">
        <f t="shared" si="17"/>
        <v>74.06</v>
      </c>
      <c r="R115" s="185"/>
      <c r="S115" s="185"/>
      <c r="Y115" s="186" t="s">
        <v>1052</v>
      </c>
      <c r="Z115" s="121" t="s">
        <v>925</v>
      </c>
      <c r="AA115" s="121">
        <f t="shared" si="19"/>
        <v>3.5</v>
      </c>
      <c r="AB115" s="194">
        <f t="shared" si="18"/>
        <v>66.540000000000006</v>
      </c>
      <c r="AC115" s="185"/>
      <c r="AD115" s="191"/>
    </row>
    <row r="116" spans="1:30" s="170" customFormat="1" ht="12.75" x14ac:dyDescent="0.2">
      <c r="A116" s="121">
        <f t="shared" si="11"/>
        <v>0</v>
      </c>
      <c r="B116" s="165"/>
      <c r="C116" s="252"/>
      <c r="D116" s="253" t="s">
        <v>4</v>
      </c>
      <c r="E116" s="254" t="s">
        <v>398</v>
      </c>
      <c r="F116" s="254" t="s">
        <v>399</v>
      </c>
      <c r="G116" s="252"/>
      <c r="H116" s="252"/>
      <c r="I116" s="255"/>
      <c r="J116" s="256">
        <f>+SUBTOTAL(9,J117:J119)</f>
        <v>172990.8</v>
      </c>
      <c r="K116" s="261"/>
      <c r="L116" s="262"/>
      <c r="M116" s="279"/>
      <c r="N116" s="280"/>
      <c r="O116" s="262"/>
      <c r="P116" s="279">
        <f>SUM(P117:P119)</f>
        <v>173061.226</v>
      </c>
      <c r="Q116" s="237">
        <f t="shared" si="17"/>
        <v>0</v>
      </c>
      <c r="R116" s="187"/>
      <c r="S116" s="187"/>
      <c r="AA116" s="121">
        <f t="shared" si="19"/>
        <v>0</v>
      </c>
      <c r="AB116" s="194">
        <f t="shared" si="18"/>
        <v>0</v>
      </c>
      <c r="AC116" s="187"/>
      <c r="AD116" s="218"/>
    </row>
    <row r="117" spans="1:30" s="121" customFormat="1" ht="12" x14ac:dyDescent="0.2">
      <c r="A117" s="121">
        <f t="shared" si="11"/>
        <v>37.897199999999998</v>
      </c>
      <c r="B117" s="120"/>
      <c r="C117" s="56" t="s">
        <v>395</v>
      </c>
      <c r="D117" s="56" t="s">
        <v>96</v>
      </c>
      <c r="E117" s="57" t="s">
        <v>401</v>
      </c>
      <c r="F117" s="58" t="s">
        <v>402</v>
      </c>
      <c r="G117" s="59" t="s">
        <v>201</v>
      </c>
      <c r="H117" s="60">
        <v>554.33000000000004</v>
      </c>
      <c r="I117" s="61">
        <v>130.68</v>
      </c>
      <c r="J117" s="60">
        <v>72439.8</v>
      </c>
      <c r="K117" s="68">
        <v>0.28999999999999998</v>
      </c>
      <c r="L117" s="69">
        <f t="shared" si="12"/>
        <v>130.68</v>
      </c>
      <c r="M117" s="273">
        <f t="shared" si="13"/>
        <v>37.897199999999998</v>
      </c>
      <c r="N117" s="71">
        <f t="shared" si="14"/>
        <v>554.62</v>
      </c>
      <c r="O117" s="72">
        <f t="shared" si="15"/>
        <v>130.68</v>
      </c>
      <c r="P117" s="274">
        <f t="shared" si="16"/>
        <v>72477.741600000008</v>
      </c>
      <c r="Q117" s="237">
        <f t="shared" si="17"/>
        <v>586.49</v>
      </c>
      <c r="R117" s="185"/>
      <c r="S117" s="185"/>
      <c r="AA117" s="121">
        <f t="shared" si="19"/>
        <v>27.716500000000003</v>
      </c>
      <c r="AB117" s="194">
        <f t="shared" si="18"/>
        <v>526.90350000000001</v>
      </c>
      <c r="AC117" s="185"/>
      <c r="AD117" s="191"/>
    </row>
    <row r="118" spans="1:30" s="121" customFormat="1" ht="12" x14ac:dyDescent="0.2">
      <c r="A118" s="121">
        <f t="shared" si="11"/>
        <v>0</v>
      </c>
      <c r="B118" s="120"/>
      <c r="C118" s="56" t="s">
        <v>400</v>
      </c>
      <c r="D118" s="56" t="s">
        <v>96</v>
      </c>
      <c r="E118" s="57" t="s">
        <v>407</v>
      </c>
      <c r="F118" s="58" t="s">
        <v>408</v>
      </c>
      <c r="G118" s="59" t="s">
        <v>201</v>
      </c>
      <c r="H118" s="60">
        <v>143.66</v>
      </c>
      <c r="I118" s="61">
        <v>257.77999999999997</v>
      </c>
      <c r="J118" s="60">
        <v>37032.699999999997</v>
      </c>
      <c r="K118" s="68">
        <v>0</v>
      </c>
      <c r="L118" s="69">
        <f t="shared" si="12"/>
        <v>257.77999999999997</v>
      </c>
      <c r="M118" s="273">
        <f t="shared" si="13"/>
        <v>0</v>
      </c>
      <c r="N118" s="71">
        <f t="shared" si="14"/>
        <v>143.66</v>
      </c>
      <c r="O118" s="72">
        <f t="shared" si="15"/>
        <v>257.77999999999997</v>
      </c>
      <c r="P118" s="274">
        <f t="shared" si="16"/>
        <v>37032.674799999993</v>
      </c>
      <c r="Q118" s="237">
        <f t="shared" si="17"/>
        <v>152</v>
      </c>
      <c r="R118" s="185"/>
      <c r="S118" s="185"/>
      <c r="AA118" s="121">
        <f t="shared" si="19"/>
        <v>7.1829999999999998</v>
      </c>
      <c r="AB118" s="194">
        <f t="shared" si="18"/>
        <v>136.477</v>
      </c>
      <c r="AC118" s="185"/>
      <c r="AD118" s="191"/>
    </row>
    <row r="119" spans="1:30" s="121" customFormat="1" ht="12" x14ac:dyDescent="0.2">
      <c r="A119" s="121">
        <f t="shared" si="11"/>
        <v>32.480699999999999</v>
      </c>
      <c r="B119" s="120"/>
      <c r="C119" s="56" t="s">
        <v>403</v>
      </c>
      <c r="D119" s="56" t="s">
        <v>96</v>
      </c>
      <c r="E119" s="57" t="s">
        <v>410</v>
      </c>
      <c r="F119" s="58" t="s">
        <v>411</v>
      </c>
      <c r="G119" s="59" t="s">
        <v>201</v>
      </c>
      <c r="H119" s="60">
        <v>410.67</v>
      </c>
      <c r="I119" s="61">
        <v>154.66999999999999</v>
      </c>
      <c r="J119" s="60">
        <v>63518.3</v>
      </c>
      <c r="K119" s="68">
        <v>0.21</v>
      </c>
      <c r="L119" s="69">
        <f t="shared" si="12"/>
        <v>154.66999999999999</v>
      </c>
      <c r="M119" s="273">
        <f t="shared" si="13"/>
        <v>32.480699999999999</v>
      </c>
      <c r="N119" s="71">
        <f t="shared" si="14"/>
        <v>410.88</v>
      </c>
      <c r="O119" s="72">
        <f t="shared" si="15"/>
        <v>154.66999999999999</v>
      </c>
      <c r="P119" s="274">
        <f t="shared" si="16"/>
        <v>63550.809599999993</v>
      </c>
      <c r="Q119" s="237">
        <f t="shared" si="17"/>
        <v>434.5</v>
      </c>
      <c r="R119" s="185"/>
      <c r="S119" s="185"/>
      <c r="AA119" s="121">
        <f t="shared" si="19"/>
        <v>20.533500000000004</v>
      </c>
      <c r="AB119" s="194">
        <f t="shared" si="18"/>
        <v>390.34649999999999</v>
      </c>
      <c r="AC119" s="185"/>
      <c r="AD119" s="191"/>
    </row>
    <row r="120" spans="1:30" s="170" customFormat="1" ht="12.75" x14ac:dyDescent="0.2">
      <c r="A120" s="121">
        <f t="shared" si="11"/>
        <v>0</v>
      </c>
      <c r="B120" s="165"/>
      <c r="C120" s="252"/>
      <c r="D120" s="253" t="s">
        <v>4</v>
      </c>
      <c r="E120" s="254" t="s">
        <v>412</v>
      </c>
      <c r="F120" s="254" t="s">
        <v>413</v>
      </c>
      <c r="G120" s="252"/>
      <c r="H120" s="252"/>
      <c r="I120" s="255"/>
      <c r="J120" s="256">
        <f>+SUBTOTAL(9,J121)</f>
        <v>287624.40000000002</v>
      </c>
      <c r="K120" s="261"/>
      <c r="L120" s="262"/>
      <c r="M120" s="279"/>
      <c r="N120" s="280"/>
      <c r="O120" s="262"/>
      <c r="P120" s="279">
        <f>P121</f>
        <v>287774.30940000003</v>
      </c>
      <c r="Q120" s="237">
        <f t="shared" si="17"/>
        <v>0</v>
      </c>
      <c r="R120" s="187"/>
      <c r="S120" s="187"/>
      <c r="AA120" s="121">
        <f t="shared" si="19"/>
        <v>0</v>
      </c>
      <c r="AB120" s="194">
        <f t="shared" si="18"/>
        <v>0</v>
      </c>
      <c r="AC120" s="187"/>
      <c r="AD120" s="218"/>
    </row>
    <row r="121" spans="1:30" s="121" customFormat="1" ht="12" x14ac:dyDescent="0.2">
      <c r="A121" s="121">
        <f t="shared" si="11"/>
        <v>149.89020000000002</v>
      </c>
      <c r="B121" s="120"/>
      <c r="C121" s="56" t="s">
        <v>406</v>
      </c>
      <c r="D121" s="56" t="s">
        <v>96</v>
      </c>
      <c r="E121" s="57" t="s">
        <v>415</v>
      </c>
      <c r="F121" s="58" t="s">
        <v>416</v>
      </c>
      <c r="G121" s="59" t="s">
        <v>201</v>
      </c>
      <c r="H121" s="60">
        <v>2513.7600000000002</v>
      </c>
      <c r="I121" s="61">
        <v>114.42</v>
      </c>
      <c r="J121" s="60">
        <v>287624.40000000002</v>
      </c>
      <c r="K121" s="68">
        <v>1.31</v>
      </c>
      <c r="L121" s="69">
        <f t="shared" si="12"/>
        <v>114.42</v>
      </c>
      <c r="M121" s="273">
        <f t="shared" si="13"/>
        <v>149.89020000000002</v>
      </c>
      <c r="N121" s="71">
        <f t="shared" si="14"/>
        <v>2515.0700000000002</v>
      </c>
      <c r="O121" s="72">
        <f t="shared" si="15"/>
        <v>114.42</v>
      </c>
      <c r="P121" s="274">
        <f t="shared" si="16"/>
        <v>287774.30940000003</v>
      </c>
      <c r="Q121" s="237">
        <f t="shared" si="17"/>
        <v>2659.62</v>
      </c>
      <c r="R121" s="185"/>
      <c r="S121" s="185"/>
      <c r="AA121" s="121">
        <f t="shared" si="19"/>
        <v>125.68800000000002</v>
      </c>
      <c r="AB121" s="194">
        <f t="shared" si="18"/>
        <v>2389.3820000000001</v>
      </c>
      <c r="AD121" s="191"/>
    </row>
    <row r="122" spans="1:30" s="121" customFormat="1" x14ac:dyDescent="0.2">
      <c r="B122" s="120"/>
      <c r="C122" s="120"/>
      <c r="D122" s="120"/>
      <c r="E122" s="120"/>
      <c r="F122" s="120"/>
      <c r="G122" s="120"/>
      <c r="H122" s="120"/>
      <c r="I122" s="153"/>
      <c r="J122" s="120"/>
      <c r="AD122" s="191"/>
    </row>
    <row r="123" spans="1:30" ht="12.75" x14ac:dyDescent="0.2">
      <c r="A123" s="185">
        <f>SUM(A15:A122)</f>
        <v>6285.7594999998855</v>
      </c>
      <c r="D123" s="42"/>
      <c r="E123" s="43" t="s">
        <v>886</v>
      </c>
      <c r="F123" s="44"/>
      <c r="G123" s="44"/>
      <c r="H123" s="45"/>
      <c r="I123" s="44"/>
      <c r="J123" s="46">
        <f>J12</f>
        <v>10563026.900000002</v>
      </c>
      <c r="K123" s="49"/>
      <c r="L123" s="46"/>
      <c r="M123" s="281">
        <f>SUM(M15:M121)</f>
        <v>6285.7594999998855</v>
      </c>
      <c r="N123" s="281"/>
      <c r="O123" s="281"/>
      <c r="P123" s="281">
        <f>P120+P116+P107+P63+P14+P53+P50+P48</f>
        <v>10569312.644600002</v>
      </c>
    </row>
    <row r="124" spans="1:30" ht="12.75" x14ac:dyDescent="0.2">
      <c r="H124" s="50"/>
      <c r="I124" s="8"/>
      <c r="J124" s="9"/>
    </row>
    <row r="125" spans="1:30" ht="14.25" x14ac:dyDescent="0.2">
      <c r="E125" s="6" t="s">
        <v>849</v>
      </c>
      <c r="F125" s="6"/>
      <c r="G125" s="320" t="s">
        <v>1224</v>
      </c>
      <c r="H125" s="50"/>
      <c r="I125" s="8"/>
      <c r="J125" s="6"/>
      <c r="K125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D9:H10" name="Oblast1_2_1"/>
  </protectedRanges>
  <autoFilter ref="C10:P121" xr:uid="{00000000-0001-0000-0B00-000000000000}"/>
  <mergeCells count="17">
    <mergeCell ref="AF36:AF37"/>
    <mergeCell ref="AF30:AF35"/>
    <mergeCell ref="AE70:AE71"/>
    <mergeCell ref="AE36:AE37"/>
    <mergeCell ref="AE30:AE35"/>
    <mergeCell ref="AD18:AD19"/>
    <mergeCell ref="AE18:AE19"/>
    <mergeCell ref="AD36:AD37"/>
    <mergeCell ref="AD70:AD71"/>
    <mergeCell ref="AC70:AC71"/>
    <mergeCell ref="K9:M9"/>
    <mergeCell ref="N9:P9"/>
    <mergeCell ref="AC92:AC93"/>
    <mergeCell ref="AC18:AC19"/>
    <mergeCell ref="AC22:AC24"/>
    <mergeCell ref="AC12:AC14"/>
    <mergeCell ref="AC36:AC37"/>
  </mergeCells>
  <pageMargins left="0.39370078740157483" right="0.39370078740157483" top="0.39370078740157483" bottom="0.39370078740157483" header="0" footer="0"/>
  <pageSetup paperSize="9" scale="58" fitToHeight="0" orientation="landscape" r:id="rId1"/>
  <headerFooter>
    <oddFooter>&amp;CStrana &amp;P z &amp;N</oddFooter>
  </headerFooter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1:U89"/>
  <sheetViews>
    <sheetView showGridLines="0" view="pageBreakPreview" topLeftCell="A46" zoomScale="60" zoomScaleNormal="85" workbookViewId="0">
      <selection activeCell="F77" sqref="F77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10.83203125" style="8" customWidth="1"/>
    <col min="12" max="12" width="15.6640625" style="8" bestFit="1" customWidth="1"/>
    <col min="13" max="13" width="21" style="8" bestFit="1" customWidth="1"/>
    <col min="14" max="14" width="10.83203125" style="8" customWidth="1"/>
    <col min="15" max="15" width="18.83203125" style="8" bestFit="1" customWidth="1"/>
    <col min="16" max="16" width="21" style="8" bestFit="1" customWidth="1"/>
    <col min="17" max="17" width="16.6640625" style="8" customWidth="1"/>
    <col min="18" max="19" width="10.83203125" style="8" customWidth="1"/>
    <col min="20" max="20" width="24.5" style="8" bestFit="1" customWidth="1"/>
    <col min="21" max="21" width="16.5" style="8" bestFit="1" customWidth="1"/>
    <col min="22" max="16384" width="9.33203125" style="8"/>
  </cols>
  <sheetData>
    <row r="1" spans="2:20" ht="18.95" customHeight="1" x14ac:dyDescent="0.2">
      <c r="F1" s="11"/>
      <c r="G1" s="89"/>
      <c r="H1" s="88"/>
      <c r="I1" s="8"/>
      <c r="J1" s="9"/>
    </row>
    <row r="2" spans="2:20" s="88" customFormat="1" ht="18" customHeight="1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20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20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20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20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20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20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B1 - Stoka B1</v>
      </c>
      <c r="M8" s="150"/>
      <c r="O8" s="151"/>
    </row>
    <row r="9" spans="2:20" s="15" customFormat="1" ht="20.100000000000001" customHeight="1" x14ac:dyDescent="0.2">
      <c r="C9" s="174"/>
      <c r="D9" s="176"/>
      <c r="E9" s="176"/>
      <c r="F9" s="176"/>
      <c r="G9" s="176"/>
      <c r="H9" s="176"/>
      <c r="I9" s="177"/>
      <c r="J9" s="178"/>
      <c r="K9" s="339" t="s">
        <v>1208</v>
      </c>
      <c r="L9" s="339"/>
      <c r="M9" s="340"/>
      <c r="N9" s="341" t="s">
        <v>1215</v>
      </c>
      <c r="O9" s="341"/>
      <c r="P9" s="342"/>
      <c r="Q9" s="87"/>
    </row>
    <row r="10" spans="2:20" s="15" customFormat="1" ht="24" customHeight="1" x14ac:dyDescent="0.2">
      <c r="C10" s="16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41"/>
      <c r="T10" s="189" t="s">
        <v>1110</v>
      </c>
    </row>
    <row r="11" spans="2:20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20" s="121" customFormat="1" ht="22.9" customHeight="1" x14ac:dyDescent="0.25">
      <c r="B12" s="120"/>
      <c r="C12" s="152" t="s">
        <v>473</v>
      </c>
      <c r="D12" s="120"/>
      <c r="E12" s="120"/>
      <c r="F12" s="120"/>
      <c r="G12" s="120"/>
      <c r="H12" s="120"/>
      <c r="I12" s="153"/>
      <c r="J12" s="154">
        <f>+SUBTOTAL(9,J13:J85)</f>
        <v>1138692.1999999997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20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+SUBTOTAL(9,J14:J85)</f>
        <v>1138692.1999999997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20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+SUBTOTAL(9,J15:J38)</f>
        <v>458060.2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SUM(M15:M38)</f>
        <v>16396.871299999999</v>
      </c>
      <c r="N14" s="278" t="str">
        <f>IF(ISBLANK(H14),"",H14-K14)</f>
        <v/>
      </c>
      <c r="O14" s="272" t="str">
        <f>IF(ISBLANK(H14),"",J14-L14)</f>
        <v/>
      </c>
      <c r="P14" s="272">
        <f>SUM(P15:P38)</f>
        <v>474457.02469999995</v>
      </c>
      <c r="Q14" s="218" t="s">
        <v>1216</v>
      </c>
    </row>
    <row r="15" spans="2:20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91.3</v>
      </c>
      <c r="I15" s="61">
        <v>40.770000000000003</v>
      </c>
      <c r="J15" s="60">
        <v>3722.3</v>
      </c>
      <c r="K15" s="68">
        <f>ROUND(126.8/122.5*Q15-Q15,2)</f>
        <v>3.41</v>
      </c>
      <c r="L15" s="69">
        <f>I15</f>
        <v>40.770000000000003</v>
      </c>
      <c r="M15" s="273">
        <f>K15*L15</f>
        <v>139.02570000000003</v>
      </c>
      <c r="N15" s="71">
        <f>H15+K15</f>
        <v>94.71</v>
      </c>
      <c r="O15" s="72">
        <f>I15</f>
        <v>40.770000000000003</v>
      </c>
      <c r="P15" s="274">
        <f>N15*O15</f>
        <v>3861.3267000000001</v>
      </c>
      <c r="Q15" s="237">
        <f>ROUND(122.5/115.24*H15,2)</f>
        <v>97.05</v>
      </c>
      <c r="R15" s="121">
        <f t="shared" ref="R15:R46" si="0">H15*0.05</f>
        <v>4.5650000000000004</v>
      </c>
      <c r="S15" s="194">
        <f t="shared" ref="S15:S46" si="1">H15-R15</f>
        <v>86.734999999999999</v>
      </c>
    </row>
    <row r="16" spans="2:20" s="121" customFormat="1" ht="16.5" customHeight="1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174.3</v>
      </c>
      <c r="I16" s="61">
        <v>55.24</v>
      </c>
      <c r="J16" s="60">
        <v>9628.2999999999993</v>
      </c>
      <c r="K16" s="68">
        <v>0</v>
      </c>
      <c r="L16" s="69">
        <f t="shared" ref="L16:L79" si="2">I16</f>
        <v>55.24</v>
      </c>
      <c r="M16" s="273">
        <f t="shared" ref="M16:M79" si="3">K16*L16</f>
        <v>0</v>
      </c>
      <c r="N16" s="71">
        <f t="shared" ref="N16:N79" si="4">H16+K16</f>
        <v>174.3</v>
      </c>
      <c r="O16" s="72">
        <f t="shared" ref="O16:O79" si="5">I16</f>
        <v>55.24</v>
      </c>
      <c r="P16" s="274">
        <f t="shared" ref="P16:P79" si="6">N16*O16</f>
        <v>9628.3320000000003</v>
      </c>
      <c r="Q16" s="237">
        <f t="shared" ref="Q16:Q79" si="7">ROUND(122.5/115.24*H16,2)</f>
        <v>185.28</v>
      </c>
      <c r="R16" s="121">
        <f t="shared" si="0"/>
        <v>8.7150000000000016</v>
      </c>
      <c r="S16" s="194">
        <f t="shared" si="1"/>
        <v>165.58500000000001</v>
      </c>
    </row>
    <row r="17" spans="2:19" s="121" customFormat="1" ht="16.5" customHeight="1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91.3</v>
      </c>
      <c r="I17" s="61">
        <v>98.64</v>
      </c>
      <c r="J17" s="60">
        <v>9005.7999999999993</v>
      </c>
      <c r="K17" s="68">
        <v>0</v>
      </c>
      <c r="L17" s="69">
        <f t="shared" si="2"/>
        <v>98.64</v>
      </c>
      <c r="M17" s="273">
        <f t="shared" si="3"/>
        <v>0</v>
      </c>
      <c r="N17" s="71">
        <f t="shared" si="4"/>
        <v>91.3</v>
      </c>
      <c r="O17" s="72">
        <f t="shared" si="5"/>
        <v>98.64</v>
      </c>
      <c r="P17" s="274">
        <f t="shared" si="6"/>
        <v>9005.8320000000003</v>
      </c>
      <c r="Q17" s="237">
        <f t="shared" si="7"/>
        <v>97.05</v>
      </c>
      <c r="R17" s="121">
        <f t="shared" si="0"/>
        <v>4.5650000000000004</v>
      </c>
      <c r="S17" s="194">
        <f t="shared" si="1"/>
        <v>86.734999999999999</v>
      </c>
    </row>
    <row r="18" spans="2:19" s="121" customFormat="1" ht="16.5" customHeight="1" x14ac:dyDescent="0.2">
      <c r="B18" s="120"/>
      <c r="C18" s="56" t="s">
        <v>105</v>
      </c>
      <c r="D18" s="56" t="s">
        <v>96</v>
      </c>
      <c r="E18" s="57" t="s">
        <v>142</v>
      </c>
      <c r="F18" s="58" t="s">
        <v>143</v>
      </c>
      <c r="G18" s="59" t="s">
        <v>133</v>
      </c>
      <c r="H18" s="60">
        <v>3.3</v>
      </c>
      <c r="I18" s="61">
        <v>170.98</v>
      </c>
      <c r="J18" s="60">
        <v>564.20000000000005</v>
      </c>
      <c r="K18" s="68">
        <f t="shared" ref="K18:K38" si="8">ROUND(126.8/122.5*Q18-Q18,2)</f>
        <v>0.12</v>
      </c>
      <c r="L18" s="69">
        <f t="shared" si="2"/>
        <v>170.98</v>
      </c>
      <c r="M18" s="273">
        <f t="shared" si="3"/>
        <v>20.517599999999998</v>
      </c>
      <c r="N18" s="71">
        <f t="shared" si="4"/>
        <v>3.42</v>
      </c>
      <c r="O18" s="72">
        <f t="shared" si="5"/>
        <v>170.98</v>
      </c>
      <c r="P18" s="274">
        <f t="shared" si="6"/>
        <v>584.75159999999994</v>
      </c>
      <c r="Q18" s="237">
        <f t="shared" si="7"/>
        <v>3.51</v>
      </c>
      <c r="R18" s="121">
        <f t="shared" si="0"/>
        <v>0.16500000000000001</v>
      </c>
      <c r="S18" s="194">
        <f t="shared" si="1"/>
        <v>3.1349999999999998</v>
      </c>
    </row>
    <row r="19" spans="2:19" s="121" customFormat="1" ht="16.5" customHeight="1" x14ac:dyDescent="0.2">
      <c r="B19" s="120"/>
      <c r="C19" s="56" t="s">
        <v>109</v>
      </c>
      <c r="D19" s="56" t="s">
        <v>96</v>
      </c>
      <c r="E19" s="57" t="s">
        <v>145</v>
      </c>
      <c r="F19" s="58" t="s">
        <v>146</v>
      </c>
      <c r="G19" s="59" t="s">
        <v>133</v>
      </c>
      <c r="H19" s="60">
        <v>7.7</v>
      </c>
      <c r="I19" s="61">
        <v>147.30000000000001</v>
      </c>
      <c r="J19" s="60">
        <v>1134.2</v>
      </c>
      <c r="K19" s="68">
        <f t="shared" si="8"/>
        <v>0.28999999999999998</v>
      </c>
      <c r="L19" s="69">
        <f t="shared" si="2"/>
        <v>147.30000000000001</v>
      </c>
      <c r="M19" s="273">
        <f t="shared" si="3"/>
        <v>42.716999999999999</v>
      </c>
      <c r="N19" s="71">
        <f t="shared" si="4"/>
        <v>7.99</v>
      </c>
      <c r="O19" s="72">
        <f t="shared" si="5"/>
        <v>147.30000000000001</v>
      </c>
      <c r="P19" s="274">
        <f t="shared" si="6"/>
        <v>1176.9270000000001</v>
      </c>
      <c r="Q19" s="237">
        <f t="shared" si="7"/>
        <v>8.19</v>
      </c>
      <c r="R19" s="121">
        <f t="shared" si="0"/>
        <v>0.38500000000000001</v>
      </c>
      <c r="S19" s="194">
        <f t="shared" si="1"/>
        <v>7.3150000000000004</v>
      </c>
    </row>
    <row r="20" spans="2:19" s="121" customFormat="1" ht="16.5" customHeight="1" x14ac:dyDescent="0.2">
      <c r="B20" s="120"/>
      <c r="C20" s="56" t="s">
        <v>112</v>
      </c>
      <c r="D20" s="56" t="s">
        <v>96</v>
      </c>
      <c r="E20" s="57" t="s">
        <v>148</v>
      </c>
      <c r="F20" s="58" t="s">
        <v>149</v>
      </c>
      <c r="G20" s="59" t="s">
        <v>150</v>
      </c>
      <c r="H20" s="60">
        <v>17.38</v>
      </c>
      <c r="I20" s="61">
        <v>38.14</v>
      </c>
      <c r="J20" s="60">
        <v>662.9</v>
      </c>
      <c r="K20" s="68">
        <f t="shared" si="8"/>
        <v>0.65</v>
      </c>
      <c r="L20" s="69">
        <f t="shared" si="2"/>
        <v>38.14</v>
      </c>
      <c r="M20" s="273">
        <f t="shared" si="3"/>
        <v>24.791</v>
      </c>
      <c r="N20" s="71">
        <f t="shared" si="4"/>
        <v>18.029999999999998</v>
      </c>
      <c r="O20" s="72">
        <f t="shared" si="5"/>
        <v>38.14</v>
      </c>
      <c r="P20" s="274">
        <f t="shared" si="6"/>
        <v>687.66419999999994</v>
      </c>
      <c r="Q20" s="237">
        <f t="shared" si="7"/>
        <v>18.47</v>
      </c>
      <c r="R20" s="121">
        <f t="shared" si="0"/>
        <v>0.86899999999999999</v>
      </c>
      <c r="S20" s="194">
        <f t="shared" si="1"/>
        <v>16.510999999999999</v>
      </c>
    </row>
    <row r="21" spans="2:19" s="121" customFormat="1" ht="16.5" customHeight="1" x14ac:dyDescent="0.2">
      <c r="B21" s="120"/>
      <c r="C21" s="56" t="s">
        <v>115</v>
      </c>
      <c r="D21" s="56" t="s">
        <v>96</v>
      </c>
      <c r="E21" s="57" t="s">
        <v>155</v>
      </c>
      <c r="F21" s="58" t="s">
        <v>156</v>
      </c>
      <c r="G21" s="59" t="s">
        <v>150</v>
      </c>
      <c r="H21" s="60">
        <v>18.579999999999998</v>
      </c>
      <c r="I21" s="61">
        <v>257.77999999999997</v>
      </c>
      <c r="J21" s="60">
        <v>4789.6000000000004</v>
      </c>
      <c r="K21" s="68">
        <f t="shared" si="8"/>
        <v>0.69</v>
      </c>
      <c r="L21" s="69">
        <f t="shared" si="2"/>
        <v>257.77999999999997</v>
      </c>
      <c r="M21" s="273">
        <f t="shared" si="3"/>
        <v>177.86819999999997</v>
      </c>
      <c r="N21" s="71">
        <f t="shared" si="4"/>
        <v>19.27</v>
      </c>
      <c r="O21" s="72">
        <f t="shared" si="5"/>
        <v>257.77999999999997</v>
      </c>
      <c r="P21" s="274">
        <f t="shared" si="6"/>
        <v>4967.4205999999995</v>
      </c>
      <c r="Q21" s="237">
        <f t="shared" si="7"/>
        <v>19.75</v>
      </c>
      <c r="R21" s="121">
        <f t="shared" si="0"/>
        <v>0.92899999999999994</v>
      </c>
      <c r="S21" s="194">
        <f t="shared" si="1"/>
        <v>17.651</v>
      </c>
    </row>
    <row r="22" spans="2:19" s="121" customFormat="1" ht="16.5" customHeight="1" x14ac:dyDescent="0.2">
      <c r="B22" s="120"/>
      <c r="C22" s="56" t="s">
        <v>118</v>
      </c>
      <c r="D22" s="56" t="s">
        <v>96</v>
      </c>
      <c r="E22" s="57" t="s">
        <v>157</v>
      </c>
      <c r="F22" s="58" t="s">
        <v>158</v>
      </c>
      <c r="G22" s="59" t="s">
        <v>150</v>
      </c>
      <c r="H22" s="60">
        <v>111.11</v>
      </c>
      <c r="I22" s="61">
        <v>257.77999999999997</v>
      </c>
      <c r="J22" s="60">
        <v>28641.9</v>
      </c>
      <c r="K22" s="68">
        <f t="shared" si="8"/>
        <v>4.1500000000000004</v>
      </c>
      <c r="L22" s="69">
        <f t="shared" si="2"/>
        <v>257.77999999999997</v>
      </c>
      <c r="M22" s="273">
        <f t="shared" si="3"/>
        <v>1069.787</v>
      </c>
      <c r="N22" s="71">
        <f t="shared" si="4"/>
        <v>115.26</v>
      </c>
      <c r="O22" s="72">
        <f t="shared" si="5"/>
        <v>257.77999999999997</v>
      </c>
      <c r="P22" s="274">
        <f t="shared" si="6"/>
        <v>29711.7228</v>
      </c>
      <c r="Q22" s="237">
        <f t="shared" si="7"/>
        <v>118.11</v>
      </c>
      <c r="R22" s="121">
        <f t="shared" si="0"/>
        <v>5.5555000000000003</v>
      </c>
      <c r="S22" s="194">
        <f t="shared" si="1"/>
        <v>105.5545</v>
      </c>
    </row>
    <row r="23" spans="2:19" s="121" customFormat="1" ht="16.5" customHeight="1" x14ac:dyDescent="0.2">
      <c r="B23" s="120"/>
      <c r="C23" s="56" t="s">
        <v>121</v>
      </c>
      <c r="D23" s="56" t="s">
        <v>96</v>
      </c>
      <c r="E23" s="57" t="s">
        <v>160</v>
      </c>
      <c r="F23" s="58" t="s">
        <v>161</v>
      </c>
      <c r="G23" s="59" t="s">
        <v>150</v>
      </c>
      <c r="H23" s="60">
        <v>33.33</v>
      </c>
      <c r="I23" s="61">
        <v>13.15</v>
      </c>
      <c r="J23" s="60">
        <v>438.3</v>
      </c>
      <c r="K23" s="68">
        <f t="shared" si="8"/>
        <v>1.24</v>
      </c>
      <c r="L23" s="69">
        <f t="shared" si="2"/>
        <v>13.15</v>
      </c>
      <c r="M23" s="273">
        <f t="shared" si="3"/>
        <v>16.306000000000001</v>
      </c>
      <c r="N23" s="71">
        <f t="shared" si="4"/>
        <v>34.57</v>
      </c>
      <c r="O23" s="72">
        <f t="shared" si="5"/>
        <v>13.15</v>
      </c>
      <c r="P23" s="274">
        <f t="shared" si="6"/>
        <v>454.59550000000002</v>
      </c>
      <c r="Q23" s="237">
        <f t="shared" si="7"/>
        <v>35.43</v>
      </c>
      <c r="R23" s="121">
        <f t="shared" si="0"/>
        <v>1.6665000000000001</v>
      </c>
      <c r="S23" s="194">
        <f t="shared" si="1"/>
        <v>31.663499999999999</v>
      </c>
    </row>
    <row r="24" spans="2:19" s="121" customFormat="1" ht="16.5" customHeight="1" x14ac:dyDescent="0.2">
      <c r="B24" s="120"/>
      <c r="C24" s="56" t="s">
        <v>124</v>
      </c>
      <c r="D24" s="56" t="s">
        <v>96</v>
      </c>
      <c r="E24" s="57" t="s">
        <v>163</v>
      </c>
      <c r="F24" s="58" t="s">
        <v>164</v>
      </c>
      <c r="G24" s="59" t="s">
        <v>150</v>
      </c>
      <c r="H24" s="60">
        <v>70.400000000000006</v>
      </c>
      <c r="I24" s="61">
        <v>315.64999999999998</v>
      </c>
      <c r="J24" s="60">
        <v>22221.8</v>
      </c>
      <c r="K24" s="68">
        <f t="shared" si="8"/>
        <v>2.63</v>
      </c>
      <c r="L24" s="69">
        <f t="shared" si="2"/>
        <v>315.64999999999998</v>
      </c>
      <c r="M24" s="273">
        <f t="shared" si="3"/>
        <v>830.15949999999987</v>
      </c>
      <c r="N24" s="71">
        <f t="shared" si="4"/>
        <v>73.03</v>
      </c>
      <c r="O24" s="72">
        <f t="shared" si="5"/>
        <v>315.64999999999998</v>
      </c>
      <c r="P24" s="274">
        <f t="shared" si="6"/>
        <v>23051.9195</v>
      </c>
      <c r="Q24" s="237">
        <f t="shared" si="7"/>
        <v>74.84</v>
      </c>
      <c r="R24" s="121">
        <f t="shared" si="0"/>
        <v>3.5200000000000005</v>
      </c>
      <c r="S24" s="194">
        <f t="shared" si="1"/>
        <v>66.88000000000001</v>
      </c>
    </row>
    <row r="25" spans="2:19" s="121" customFormat="1" ht="16.5" customHeight="1" x14ac:dyDescent="0.2">
      <c r="B25" s="120"/>
      <c r="C25" s="56" t="s">
        <v>127</v>
      </c>
      <c r="D25" s="56" t="s">
        <v>96</v>
      </c>
      <c r="E25" s="57" t="s">
        <v>166</v>
      </c>
      <c r="F25" s="58" t="s">
        <v>167</v>
      </c>
      <c r="G25" s="59" t="s">
        <v>150</v>
      </c>
      <c r="H25" s="60">
        <v>21.12</v>
      </c>
      <c r="I25" s="61">
        <v>15.78</v>
      </c>
      <c r="J25" s="60">
        <v>333.3</v>
      </c>
      <c r="K25" s="68">
        <f t="shared" si="8"/>
        <v>0.79</v>
      </c>
      <c r="L25" s="69">
        <f t="shared" si="2"/>
        <v>15.78</v>
      </c>
      <c r="M25" s="273">
        <f t="shared" si="3"/>
        <v>12.466200000000001</v>
      </c>
      <c r="N25" s="71">
        <f t="shared" si="4"/>
        <v>21.91</v>
      </c>
      <c r="O25" s="72">
        <f t="shared" si="5"/>
        <v>15.78</v>
      </c>
      <c r="P25" s="274">
        <f t="shared" si="6"/>
        <v>345.7398</v>
      </c>
      <c r="Q25" s="237">
        <f t="shared" si="7"/>
        <v>22.45</v>
      </c>
      <c r="R25" s="121">
        <f t="shared" si="0"/>
        <v>1.056</v>
      </c>
      <c r="S25" s="194">
        <f t="shared" si="1"/>
        <v>20.064</v>
      </c>
    </row>
    <row r="26" spans="2:19" s="121" customFormat="1" ht="16.5" customHeight="1" x14ac:dyDescent="0.2">
      <c r="B26" s="120"/>
      <c r="C26" s="56" t="s">
        <v>130</v>
      </c>
      <c r="D26" s="56" t="s">
        <v>96</v>
      </c>
      <c r="E26" s="57" t="s">
        <v>169</v>
      </c>
      <c r="F26" s="58" t="s">
        <v>170</v>
      </c>
      <c r="G26" s="59" t="s">
        <v>150</v>
      </c>
      <c r="H26" s="60">
        <v>7.94</v>
      </c>
      <c r="I26" s="61">
        <v>837.79</v>
      </c>
      <c r="J26" s="60">
        <v>6652.1</v>
      </c>
      <c r="K26" s="68">
        <f t="shared" si="8"/>
        <v>0.3</v>
      </c>
      <c r="L26" s="69">
        <f t="shared" si="2"/>
        <v>837.79</v>
      </c>
      <c r="M26" s="273">
        <f t="shared" si="3"/>
        <v>251.33699999999999</v>
      </c>
      <c r="N26" s="71">
        <f t="shared" si="4"/>
        <v>8.24</v>
      </c>
      <c r="O26" s="72">
        <f t="shared" si="5"/>
        <v>837.79</v>
      </c>
      <c r="P26" s="274">
        <f t="shared" si="6"/>
        <v>6903.3895999999995</v>
      </c>
      <c r="Q26" s="237">
        <f t="shared" si="7"/>
        <v>8.44</v>
      </c>
      <c r="R26" s="121">
        <f t="shared" si="0"/>
        <v>0.39700000000000002</v>
      </c>
      <c r="S26" s="194">
        <f t="shared" si="1"/>
        <v>7.5430000000000001</v>
      </c>
    </row>
    <row r="27" spans="2:19" s="121" customFormat="1" ht="16.5" customHeight="1" x14ac:dyDescent="0.2">
      <c r="B27" s="120"/>
      <c r="C27" s="56" t="s">
        <v>134</v>
      </c>
      <c r="D27" s="56" t="s">
        <v>96</v>
      </c>
      <c r="E27" s="57" t="s">
        <v>172</v>
      </c>
      <c r="F27" s="58" t="s">
        <v>173</v>
      </c>
      <c r="G27" s="59" t="s">
        <v>150</v>
      </c>
      <c r="H27" s="60">
        <v>66.56</v>
      </c>
      <c r="I27" s="61">
        <v>1116.6199999999999</v>
      </c>
      <c r="J27" s="60">
        <v>74322.2</v>
      </c>
      <c r="K27" s="68">
        <f t="shared" si="8"/>
        <v>2.48</v>
      </c>
      <c r="L27" s="69">
        <f t="shared" si="2"/>
        <v>1116.6199999999999</v>
      </c>
      <c r="M27" s="273">
        <f t="shared" si="3"/>
        <v>2769.2175999999995</v>
      </c>
      <c r="N27" s="71">
        <f t="shared" si="4"/>
        <v>69.040000000000006</v>
      </c>
      <c r="O27" s="72">
        <f t="shared" si="5"/>
        <v>1116.6199999999999</v>
      </c>
      <c r="P27" s="274">
        <f t="shared" si="6"/>
        <v>77091.444799999997</v>
      </c>
      <c r="Q27" s="237">
        <f t="shared" si="7"/>
        <v>70.75</v>
      </c>
      <c r="R27" s="121">
        <f t="shared" si="0"/>
        <v>3.3280000000000003</v>
      </c>
      <c r="S27" s="194">
        <f t="shared" si="1"/>
        <v>63.231999999999999</v>
      </c>
    </row>
    <row r="28" spans="2:19" s="121" customFormat="1" ht="16.5" customHeight="1" x14ac:dyDescent="0.2">
      <c r="B28" s="120"/>
      <c r="C28" s="56" t="s">
        <v>2</v>
      </c>
      <c r="D28" s="56" t="s">
        <v>96</v>
      </c>
      <c r="E28" s="57" t="s">
        <v>175</v>
      </c>
      <c r="F28" s="58" t="s">
        <v>176</v>
      </c>
      <c r="G28" s="59" t="s">
        <v>108</v>
      </c>
      <c r="H28" s="60">
        <v>514.04999999999995</v>
      </c>
      <c r="I28" s="61">
        <v>99.96</v>
      </c>
      <c r="J28" s="60">
        <v>51384.4</v>
      </c>
      <c r="K28" s="68">
        <f t="shared" si="8"/>
        <v>19.18</v>
      </c>
      <c r="L28" s="69">
        <f t="shared" si="2"/>
        <v>99.96</v>
      </c>
      <c r="M28" s="273">
        <f t="shared" si="3"/>
        <v>1917.2327999999998</v>
      </c>
      <c r="N28" s="71">
        <f t="shared" si="4"/>
        <v>533.2299999999999</v>
      </c>
      <c r="O28" s="72">
        <f t="shared" si="5"/>
        <v>99.96</v>
      </c>
      <c r="P28" s="274">
        <f t="shared" si="6"/>
        <v>53301.670799999985</v>
      </c>
      <c r="Q28" s="237">
        <f t="shared" si="7"/>
        <v>546.42999999999995</v>
      </c>
      <c r="R28" s="121">
        <f t="shared" si="0"/>
        <v>25.702500000000001</v>
      </c>
      <c r="S28" s="194">
        <f t="shared" si="1"/>
        <v>488.34749999999997</v>
      </c>
    </row>
    <row r="29" spans="2:19" s="121" customFormat="1" ht="16.5" customHeight="1" x14ac:dyDescent="0.2">
      <c r="B29" s="120"/>
      <c r="C29" s="56" t="s">
        <v>141</v>
      </c>
      <c r="D29" s="56" t="s">
        <v>96</v>
      </c>
      <c r="E29" s="57" t="s">
        <v>181</v>
      </c>
      <c r="F29" s="58" t="s">
        <v>182</v>
      </c>
      <c r="G29" s="59" t="s">
        <v>108</v>
      </c>
      <c r="H29" s="60">
        <v>514.04999999999995</v>
      </c>
      <c r="I29" s="61">
        <v>149.94</v>
      </c>
      <c r="J29" s="60">
        <v>77076.7</v>
      </c>
      <c r="K29" s="68">
        <f t="shared" si="8"/>
        <v>19.18</v>
      </c>
      <c r="L29" s="69">
        <f t="shared" si="2"/>
        <v>149.94</v>
      </c>
      <c r="M29" s="273">
        <f t="shared" si="3"/>
        <v>2875.8492000000001</v>
      </c>
      <c r="N29" s="71">
        <f t="shared" si="4"/>
        <v>533.2299999999999</v>
      </c>
      <c r="O29" s="72">
        <f t="shared" si="5"/>
        <v>149.94</v>
      </c>
      <c r="P29" s="274">
        <f t="shared" si="6"/>
        <v>79952.506199999989</v>
      </c>
      <c r="Q29" s="237">
        <f t="shared" si="7"/>
        <v>546.42999999999995</v>
      </c>
      <c r="R29" s="121">
        <f t="shared" si="0"/>
        <v>25.702500000000001</v>
      </c>
      <c r="S29" s="194">
        <f t="shared" si="1"/>
        <v>488.34749999999997</v>
      </c>
    </row>
    <row r="30" spans="2:19" s="121" customFormat="1" ht="16.5" customHeight="1" x14ac:dyDescent="0.2">
      <c r="B30" s="120"/>
      <c r="C30" s="56" t="s">
        <v>144</v>
      </c>
      <c r="D30" s="56" t="s">
        <v>96</v>
      </c>
      <c r="E30" s="57" t="s">
        <v>187</v>
      </c>
      <c r="F30" s="58" t="s">
        <v>188</v>
      </c>
      <c r="G30" s="59" t="s">
        <v>150</v>
      </c>
      <c r="H30" s="60">
        <v>415.76</v>
      </c>
      <c r="I30" s="61">
        <v>97.41</v>
      </c>
      <c r="J30" s="60">
        <v>40499.199999999997</v>
      </c>
      <c r="K30" s="68">
        <f t="shared" si="8"/>
        <v>15.51</v>
      </c>
      <c r="L30" s="69">
        <f t="shared" si="2"/>
        <v>97.41</v>
      </c>
      <c r="M30" s="273">
        <f t="shared" si="3"/>
        <v>1510.8290999999999</v>
      </c>
      <c r="N30" s="71">
        <f t="shared" si="4"/>
        <v>431.27</v>
      </c>
      <c r="O30" s="72">
        <f t="shared" si="5"/>
        <v>97.41</v>
      </c>
      <c r="P30" s="274">
        <f t="shared" si="6"/>
        <v>42010.010699999999</v>
      </c>
      <c r="Q30" s="237">
        <f t="shared" si="7"/>
        <v>441.95</v>
      </c>
      <c r="R30" s="121">
        <f t="shared" si="0"/>
        <v>20.788</v>
      </c>
      <c r="S30" s="194">
        <f t="shared" si="1"/>
        <v>394.97199999999998</v>
      </c>
    </row>
    <row r="31" spans="2:19" s="121" customFormat="1" ht="16.5" customHeight="1" x14ac:dyDescent="0.2">
      <c r="B31" s="120"/>
      <c r="C31" s="56" t="s">
        <v>147</v>
      </c>
      <c r="D31" s="56" t="s">
        <v>96</v>
      </c>
      <c r="E31" s="57" t="s">
        <v>190</v>
      </c>
      <c r="F31" s="58" t="s">
        <v>191</v>
      </c>
      <c r="G31" s="59" t="s">
        <v>150</v>
      </c>
      <c r="H31" s="60">
        <v>105.31</v>
      </c>
      <c r="I31" s="61">
        <v>247.39</v>
      </c>
      <c r="J31" s="60">
        <v>26052.6</v>
      </c>
      <c r="K31" s="68">
        <f t="shared" si="8"/>
        <v>3.93</v>
      </c>
      <c r="L31" s="69">
        <f t="shared" si="2"/>
        <v>247.39</v>
      </c>
      <c r="M31" s="273">
        <f t="shared" si="3"/>
        <v>972.24270000000001</v>
      </c>
      <c r="N31" s="71">
        <f t="shared" si="4"/>
        <v>109.24000000000001</v>
      </c>
      <c r="O31" s="72">
        <f t="shared" si="5"/>
        <v>247.39</v>
      </c>
      <c r="P31" s="274">
        <f t="shared" si="6"/>
        <v>27024.883600000001</v>
      </c>
      <c r="Q31" s="237">
        <f t="shared" si="7"/>
        <v>111.94</v>
      </c>
      <c r="R31" s="121">
        <f t="shared" si="0"/>
        <v>5.2655000000000003</v>
      </c>
      <c r="S31" s="194">
        <f t="shared" si="1"/>
        <v>100.0445</v>
      </c>
    </row>
    <row r="32" spans="2:19" s="121" customFormat="1" ht="16.5" customHeight="1" x14ac:dyDescent="0.2">
      <c r="B32" s="120"/>
      <c r="C32" s="56" t="s">
        <v>151</v>
      </c>
      <c r="D32" s="56" t="s">
        <v>96</v>
      </c>
      <c r="E32" s="57" t="s">
        <v>193</v>
      </c>
      <c r="F32" s="58" t="s">
        <v>194</v>
      </c>
      <c r="G32" s="59" t="s">
        <v>150</v>
      </c>
      <c r="H32" s="60">
        <v>105.31</v>
      </c>
      <c r="I32" s="61">
        <v>44.72</v>
      </c>
      <c r="J32" s="60">
        <v>4709.5</v>
      </c>
      <c r="K32" s="68">
        <f t="shared" si="8"/>
        <v>3.93</v>
      </c>
      <c r="L32" s="69">
        <f t="shared" si="2"/>
        <v>44.72</v>
      </c>
      <c r="M32" s="273">
        <f t="shared" si="3"/>
        <v>175.74960000000002</v>
      </c>
      <c r="N32" s="71">
        <f t="shared" si="4"/>
        <v>109.24000000000001</v>
      </c>
      <c r="O32" s="72">
        <f t="shared" si="5"/>
        <v>44.72</v>
      </c>
      <c r="P32" s="274">
        <f t="shared" si="6"/>
        <v>4885.2128000000002</v>
      </c>
      <c r="Q32" s="237">
        <f t="shared" si="7"/>
        <v>111.94</v>
      </c>
      <c r="R32" s="121">
        <f t="shared" si="0"/>
        <v>5.2655000000000003</v>
      </c>
      <c r="S32" s="194">
        <f t="shared" si="1"/>
        <v>100.0445</v>
      </c>
    </row>
    <row r="33" spans="2:21" s="121" customFormat="1" ht="16.5" customHeight="1" x14ac:dyDescent="0.2">
      <c r="B33" s="120"/>
      <c r="C33" s="56" t="s">
        <v>154</v>
      </c>
      <c r="D33" s="56" t="s">
        <v>96</v>
      </c>
      <c r="E33" s="57" t="s">
        <v>196</v>
      </c>
      <c r="F33" s="58" t="s">
        <v>197</v>
      </c>
      <c r="G33" s="59" t="s">
        <v>150</v>
      </c>
      <c r="H33" s="60">
        <v>105.31</v>
      </c>
      <c r="I33" s="61">
        <v>11.84</v>
      </c>
      <c r="J33" s="60">
        <v>1246.9000000000001</v>
      </c>
      <c r="K33" s="68">
        <f t="shared" si="8"/>
        <v>3.93</v>
      </c>
      <c r="L33" s="69">
        <f t="shared" si="2"/>
        <v>11.84</v>
      </c>
      <c r="M33" s="273">
        <f t="shared" si="3"/>
        <v>46.531199999999998</v>
      </c>
      <c r="N33" s="71">
        <f t="shared" si="4"/>
        <v>109.24000000000001</v>
      </c>
      <c r="O33" s="72">
        <f t="shared" si="5"/>
        <v>11.84</v>
      </c>
      <c r="P33" s="274">
        <f t="shared" si="6"/>
        <v>1293.4016000000001</v>
      </c>
      <c r="Q33" s="237">
        <f t="shared" si="7"/>
        <v>111.94</v>
      </c>
      <c r="R33" s="121">
        <f t="shared" si="0"/>
        <v>5.2655000000000003</v>
      </c>
      <c r="S33" s="194">
        <f t="shared" si="1"/>
        <v>100.0445</v>
      </c>
    </row>
    <row r="34" spans="2:21" s="121" customFormat="1" ht="16.5" customHeight="1" x14ac:dyDescent="0.2">
      <c r="B34" s="120"/>
      <c r="C34" s="56" t="s">
        <v>1</v>
      </c>
      <c r="D34" s="56" t="s">
        <v>96</v>
      </c>
      <c r="E34" s="57" t="s">
        <v>199</v>
      </c>
      <c r="F34" s="58" t="s">
        <v>200</v>
      </c>
      <c r="G34" s="59" t="s">
        <v>201</v>
      </c>
      <c r="H34" s="60">
        <v>210.62</v>
      </c>
      <c r="I34" s="61">
        <v>116</v>
      </c>
      <c r="J34" s="60">
        <v>24431.9</v>
      </c>
      <c r="K34" s="68">
        <f t="shared" si="8"/>
        <v>7.86</v>
      </c>
      <c r="L34" s="69">
        <f t="shared" si="2"/>
        <v>116</v>
      </c>
      <c r="M34" s="273">
        <f t="shared" si="3"/>
        <v>911.76</v>
      </c>
      <c r="N34" s="71">
        <f t="shared" si="4"/>
        <v>218.48000000000002</v>
      </c>
      <c r="O34" s="72">
        <f t="shared" si="5"/>
        <v>116</v>
      </c>
      <c r="P34" s="274">
        <f t="shared" si="6"/>
        <v>25343.68</v>
      </c>
      <c r="Q34" s="237">
        <f t="shared" si="7"/>
        <v>223.89</v>
      </c>
      <c r="R34" s="121">
        <f t="shared" si="0"/>
        <v>10.531000000000001</v>
      </c>
      <c r="S34" s="194">
        <f t="shared" si="1"/>
        <v>200.089</v>
      </c>
      <c r="T34" s="186" t="s">
        <v>1115</v>
      </c>
      <c r="U34" s="121" t="s">
        <v>1129</v>
      </c>
    </row>
    <row r="35" spans="2:21" s="121" customFormat="1" ht="16.5" customHeight="1" x14ac:dyDescent="0.2">
      <c r="B35" s="120"/>
      <c r="C35" s="56" t="s">
        <v>159</v>
      </c>
      <c r="D35" s="56" t="s">
        <v>96</v>
      </c>
      <c r="E35" s="57" t="s">
        <v>203</v>
      </c>
      <c r="F35" s="58" t="s">
        <v>204</v>
      </c>
      <c r="G35" s="59" t="s">
        <v>150</v>
      </c>
      <c r="H35" s="60">
        <v>159.75</v>
      </c>
      <c r="I35" s="61">
        <v>143.36000000000001</v>
      </c>
      <c r="J35" s="60">
        <v>22901.8</v>
      </c>
      <c r="K35" s="68">
        <f t="shared" si="8"/>
        <v>5.96</v>
      </c>
      <c r="L35" s="69">
        <f t="shared" si="2"/>
        <v>143.36000000000001</v>
      </c>
      <c r="M35" s="273">
        <f t="shared" si="3"/>
        <v>854.42560000000003</v>
      </c>
      <c r="N35" s="71">
        <f t="shared" si="4"/>
        <v>165.71</v>
      </c>
      <c r="O35" s="72">
        <f t="shared" si="5"/>
        <v>143.36000000000001</v>
      </c>
      <c r="P35" s="274">
        <f t="shared" si="6"/>
        <v>23756.185600000004</v>
      </c>
      <c r="Q35" s="237">
        <f t="shared" si="7"/>
        <v>169.81</v>
      </c>
      <c r="R35" s="121">
        <f t="shared" si="0"/>
        <v>7.9875000000000007</v>
      </c>
      <c r="S35" s="194">
        <f t="shared" si="1"/>
        <v>151.76249999999999</v>
      </c>
    </row>
    <row r="36" spans="2:21" s="121" customFormat="1" ht="16.5" customHeight="1" x14ac:dyDescent="0.2">
      <c r="B36" s="120"/>
      <c r="C36" s="56" t="s">
        <v>162</v>
      </c>
      <c r="D36" s="56" t="s">
        <v>96</v>
      </c>
      <c r="E36" s="57" t="s">
        <v>206</v>
      </c>
      <c r="F36" s="58" t="s">
        <v>207</v>
      </c>
      <c r="G36" s="59" t="s">
        <v>150</v>
      </c>
      <c r="H36" s="60">
        <v>68.25</v>
      </c>
      <c r="I36" s="61">
        <v>318.27999999999997</v>
      </c>
      <c r="J36" s="60">
        <v>21722.6</v>
      </c>
      <c r="K36" s="68">
        <f t="shared" si="8"/>
        <v>2.5499999999999998</v>
      </c>
      <c r="L36" s="69">
        <f t="shared" si="2"/>
        <v>318.27999999999997</v>
      </c>
      <c r="M36" s="273">
        <f t="shared" si="3"/>
        <v>811.61399999999992</v>
      </c>
      <c r="N36" s="71">
        <f t="shared" si="4"/>
        <v>70.8</v>
      </c>
      <c r="O36" s="72">
        <f t="shared" si="5"/>
        <v>318.27999999999997</v>
      </c>
      <c r="P36" s="274">
        <f t="shared" si="6"/>
        <v>22534.223999999998</v>
      </c>
      <c r="Q36" s="237">
        <f t="shared" si="7"/>
        <v>72.55</v>
      </c>
      <c r="R36" s="121">
        <f t="shared" si="0"/>
        <v>3.4125000000000001</v>
      </c>
      <c r="S36" s="194">
        <f t="shared" si="1"/>
        <v>64.837500000000006</v>
      </c>
    </row>
    <row r="37" spans="2:21" s="121" customFormat="1" ht="16.5" customHeight="1" x14ac:dyDescent="0.2">
      <c r="B37" s="120"/>
      <c r="C37" s="73" t="s">
        <v>165</v>
      </c>
      <c r="D37" s="73" t="s">
        <v>209</v>
      </c>
      <c r="E37" s="74" t="s">
        <v>210</v>
      </c>
      <c r="F37" s="75" t="s">
        <v>211</v>
      </c>
      <c r="G37" s="76" t="s">
        <v>201</v>
      </c>
      <c r="H37" s="77">
        <v>136.5</v>
      </c>
      <c r="I37" s="78">
        <v>172.71</v>
      </c>
      <c r="J37" s="77">
        <v>23574.9</v>
      </c>
      <c r="K37" s="68">
        <f t="shared" si="8"/>
        <v>5.09</v>
      </c>
      <c r="L37" s="69">
        <f t="shared" si="2"/>
        <v>172.71</v>
      </c>
      <c r="M37" s="273">
        <f t="shared" si="3"/>
        <v>879.09389999999996</v>
      </c>
      <c r="N37" s="71">
        <f t="shared" si="4"/>
        <v>141.59</v>
      </c>
      <c r="O37" s="72">
        <f t="shared" si="5"/>
        <v>172.71</v>
      </c>
      <c r="P37" s="274">
        <f t="shared" si="6"/>
        <v>24454.008900000001</v>
      </c>
      <c r="Q37" s="237">
        <f t="shared" si="7"/>
        <v>145.1</v>
      </c>
      <c r="R37" s="121">
        <f t="shared" si="0"/>
        <v>6.8250000000000002</v>
      </c>
      <c r="S37" s="194">
        <f t="shared" si="1"/>
        <v>129.67500000000001</v>
      </c>
    </row>
    <row r="38" spans="2:21" s="121" customFormat="1" ht="16.5" customHeight="1" x14ac:dyDescent="0.2">
      <c r="B38" s="120"/>
      <c r="C38" s="56" t="s">
        <v>168</v>
      </c>
      <c r="D38" s="56" t="s">
        <v>96</v>
      </c>
      <c r="E38" s="57" t="s">
        <v>213</v>
      </c>
      <c r="F38" s="58" t="s">
        <v>214</v>
      </c>
      <c r="G38" s="59" t="s">
        <v>108</v>
      </c>
      <c r="H38" s="60">
        <v>43.45</v>
      </c>
      <c r="I38" s="61">
        <v>53.92</v>
      </c>
      <c r="J38" s="60">
        <v>2342.8000000000002</v>
      </c>
      <c r="K38" s="68">
        <f t="shared" si="8"/>
        <v>1.62</v>
      </c>
      <c r="L38" s="69">
        <f t="shared" si="2"/>
        <v>53.92</v>
      </c>
      <c r="M38" s="273">
        <f t="shared" si="3"/>
        <v>87.350400000000008</v>
      </c>
      <c r="N38" s="71">
        <f t="shared" si="4"/>
        <v>45.07</v>
      </c>
      <c r="O38" s="72">
        <f t="shared" si="5"/>
        <v>53.92</v>
      </c>
      <c r="P38" s="274">
        <f t="shared" si="6"/>
        <v>2430.1743999999999</v>
      </c>
      <c r="Q38" s="237">
        <f t="shared" si="7"/>
        <v>46.19</v>
      </c>
      <c r="R38" s="121">
        <f t="shared" si="0"/>
        <v>2.1725000000000003</v>
      </c>
      <c r="S38" s="194">
        <f t="shared" si="1"/>
        <v>41.277500000000003</v>
      </c>
    </row>
    <row r="39" spans="2:21" s="170" customFormat="1" ht="22.9" customHeight="1" x14ac:dyDescent="0.2">
      <c r="B39" s="165"/>
      <c r="C39" s="252"/>
      <c r="D39" s="253" t="s">
        <v>4</v>
      </c>
      <c r="E39" s="254" t="s">
        <v>13</v>
      </c>
      <c r="F39" s="254" t="s">
        <v>222</v>
      </c>
      <c r="G39" s="252"/>
      <c r="H39" s="252"/>
      <c r="I39" s="255"/>
      <c r="J39" s="256">
        <f>+SUBTOTAL(9,J40:J41)</f>
        <v>4547.3999999999996</v>
      </c>
      <c r="K39" s="261"/>
      <c r="L39" s="262"/>
      <c r="M39" s="279">
        <f>SUM(M40:M41)</f>
        <v>169.67800000000003</v>
      </c>
      <c r="N39" s="280"/>
      <c r="O39" s="262"/>
      <c r="P39" s="279">
        <f>SUM(P40:P41)</f>
        <v>4717.0483999999997</v>
      </c>
      <c r="Q39" s="237">
        <f t="shared" si="7"/>
        <v>0</v>
      </c>
      <c r="R39" s="121">
        <f t="shared" si="0"/>
        <v>0</v>
      </c>
      <c r="S39" s="194">
        <f t="shared" si="1"/>
        <v>0</v>
      </c>
    </row>
    <row r="40" spans="2:21" s="121" customFormat="1" ht="16.5" customHeight="1" x14ac:dyDescent="0.2">
      <c r="B40" s="120"/>
      <c r="C40" s="56" t="s">
        <v>171</v>
      </c>
      <c r="D40" s="56" t="s">
        <v>96</v>
      </c>
      <c r="E40" s="57" t="s">
        <v>224</v>
      </c>
      <c r="F40" s="58" t="s">
        <v>225</v>
      </c>
      <c r="G40" s="59" t="s">
        <v>133</v>
      </c>
      <c r="H40" s="60">
        <v>115.24</v>
      </c>
      <c r="I40" s="61">
        <v>32.880000000000003</v>
      </c>
      <c r="J40" s="60">
        <v>3789.1</v>
      </c>
      <c r="K40" s="68">
        <f>ROUND(126.8-Q40,2)</f>
        <v>4.3</v>
      </c>
      <c r="L40" s="69">
        <f t="shared" si="2"/>
        <v>32.880000000000003</v>
      </c>
      <c r="M40" s="273">
        <f t="shared" si="3"/>
        <v>141.38400000000001</v>
      </c>
      <c r="N40" s="71">
        <f t="shared" si="4"/>
        <v>119.53999999999999</v>
      </c>
      <c r="O40" s="72">
        <f t="shared" si="5"/>
        <v>32.880000000000003</v>
      </c>
      <c r="P40" s="274">
        <f t="shared" si="6"/>
        <v>3930.4751999999999</v>
      </c>
      <c r="Q40" s="237">
        <f t="shared" si="7"/>
        <v>122.5</v>
      </c>
      <c r="R40" s="121">
        <f t="shared" si="0"/>
        <v>5.7620000000000005</v>
      </c>
      <c r="S40" s="194">
        <f t="shared" si="1"/>
        <v>109.47799999999999</v>
      </c>
    </row>
    <row r="41" spans="2:21" s="121" customFormat="1" ht="16.5" customHeight="1" x14ac:dyDescent="0.2">
      <c r="B41" s="120"/>
      <c r="C41" s="56" t="s">
        <v>174</v>
      </c>
      <c r="D41" s="56" t="s">
        <v>96</v>
      </c>
      <c r="E41" s="57" t="s">
        <v>227</v>
      </c>
      <c r="F41" s="58" t="s">
        <v>228</v>
      </c>
      <c r="G41" s="59" t="s">
        <v>133</v>
      </c>
      <c r="H41" s="60">
        <v>115.24</v>
      </c>
      <c r="I41" s="61">
        <v>6.58</v>
      </c>
      <c r="J41" s="60">
        <v>758.3</v>
      </c>
      <c r="K41" s="68">
        <f>ROUND(126.8-Q41,2)</f>
        <v>4.3</v>
      </c>
      <c r="L41" s="69">
        <f t="shared" si="2"/>
        <v>6.58</v>
      </c>
      <c r="M41" s="273">
        <f t="shared" si="3"/>
        <v>28.294</v>
      </c>
      <c r="N41" s="71">
        <f t="shared" si="4"/>
        <v>119.53999999999999</v>
      </c>
      <c r="O41" s="72">
        <f t="shared" si="5"/>
        <v>6.58</v>
      </c>
      <c r="P41" s="274">
        <f t="shared" si="6"/>
        <v>786.57319999999993</v>
      </c>
      <c r="Q41" s="237">
        <f t="shared" si="7"/>
        <v>122.5</v>
      </c>
      <c r="R41" s="121">
        <f t="shared" si="0"/>
        <v>5.7620000000000005</v>
      </c>
      <c r="S41" s="194">
        <f t="shared" si="1"/>
        <v>109.47799999999999</v>
      </c>
    </row>
    <row r="42" spans="2:21" s="170" customFormat="1" ht="22.9" customHeight="1" x14ac:dyDescent="0.2">
      <c r="B42" s="165"/>
      <c r="C42" s="252"/>
      <c r="D42" s="253" t="s">
        <v>4</v>
      </c>
      <c r="E42" s="254" t="s">
        <v>100</v>
      </c>
      <c r="F42" s="254" t="s">
        <v>229</v>
      </c>
      <c r="G42" s="252"/>
      <c r="H42" s="252"/>
      <c r="I42" s="255"/>
      <c r="J42" s="256">
        <f>+SUBTOTAL(9,J43:J49)</f>
        <v>59095.299999999996</v>
      </c>
      <c r="K42" s="261"/>
      <c r="L42" s="262"/>
      <c r="M42" s="279">
        <f>SUM(M43:M49)</f>
        <v>2135.2940999999996</v>
      </c>
      <c r="N42" s="280"/>
      <c r="O42" s="262"/>
      <c r="P42" s="279">
        <f>SUM(P43:P49)</f>
        <v>61230.734700000001</v>
      </c>
      <c r="Q42" s="237">
        <f t="shared" si="7"/>
        <v>0</v>
      </c>
      <c r="R42" s="121">
        <f t="shared" si="0"/>
        <v>0</v>
      </c>
      <c r="S42" s="194">
        <f t="shared" si="1"/>
        <v>0</v>
      </c>
    </row>
    <row r="43" spans="2:21" s="121" customFormat="1" ht="16.5" customHeight="1" x14ac:dyDescent="0.2">
      <c r="B43" s="120"/>
      <c r="C43" s="56" t="s">
        <v>177</v>
      </c>
      <c r="D43" s="56" t="s">
        <v>96</v>
      </c>
      <c r="E43" s="57" t="s">
        <v>231</v>
      </c>
      <c r="F43" s="58" t="s">
        <v>232</v>
      </c>
      <c r="G43" s="59" t="s">
        <v>99</v>
      </c>
      <c r="H43" s="60">
        <v>2</v>
      </c>
      <c r="I43" s="61">
        <v>122.32</v>
      </c>
      <c r="J43" s="60">
        <v>244.6</v>
      </c>
      <c r="K43" s="68">
        <v>0</v>
      </c>
      <c r="L43" s="69">
        <f t="shared" si="2"/>
        <v>122.32</v>
      </c>
      <c r="M43" s="273">
        <f t="shared" si="3"/>
        <v>0</v>
      </c>
      <c r="N43" s="71">
        <f t="shared" si="4"/>
        <v>2</v>
      </c>
      <c r="O43" s="72">
        <f t="shared" si="5"/>
        <v>122.32</v>
      </c>
      <c r="P43" s="274">
        <f t="shared" si="6"/>
        <v>244.64</v>
      </c>
      <c r="Q43" s="237">
        <f t="shared" si="7"/>
        <v>2.13</v>
      </c>
      <c r="R43" s="121">
        <f t="shared" si="0"/>
        <v>0.1</v>
      </c>
      <c r="S43" s="194">
        <f t="shared" si="1"/>
        <v>1.9</v>
      </c>
    </row>
    <row r="44" spans="2:21" s="121" customFormat="1" ht="16.5" customHeight="1" x14ac:dyDescent="0.2">
      <c r="B44" s="120"/>
      <c r="C44" s="73" t="s">
        <v>180</v>
      </c>
      <c r="D44" s="73" t="s">
        <v>209</v>
      </c>
      <c r="E44" s="74" t="s">
        <v>234</v>
      </c>
      <c r="F44" s="75" t="s">
        <v>235</v>
      </c>
      <c r="G44" s="76" t="s">
        <v>99</v>
      </c>
      <c r="H44" s="77">
        <v>1</v>
      </c>
      <c r="I44" s="78">
        <v>345.9</v>
      </c>
      <c r="J44" s="77">
        <v>345.9</v>
      </c>
      <c r="K44" s="68">
        <v>0</v>
      </c>
      <c r="L44" s="69">
        <f t="shared" si="2"/>
        <v>345.9</v>
      </c>
      <c r="M44" s="273">
        <f t="shared" si="3"/>
        <v>0</v>
      </c>
      <c r="N44" s="71">
        <f t="shared" si="4"/>
        <v>1</v>
      </c>
      <c r="O44" s="72">
        <f t="shared" si="5"/>
        <v>345.9</v>
      </c>
      <c r="P44" s="274">
        <f t="shared" si="6"/>
        <v>345.9</v>
      </c>
      <c r="Q44" s="237">
        <f t="shared" si="7"/>
        <v>1.06</v>
      </c>
      <c r="R44" s="121">
        <f t="shared" si="0"/>
        <v>0.05</v>
      </c>
      <c r="S44" s="194">
        <f t="shared" si="1"/>
        <v>0.95</v>
      </c>
    </row>
    <row r="45" spans="2:21" s="121" customFormat="1" ht="16.5" customHeight="1" x14ac:dyDescent="0.2">
      <c r="B45" s="120"/>
      <c r="C45" s="73" t="s">
        <v>183</v>
      </c>
      <c r="D45" s="73" t="s">
        <v>209</v>
      </c>
      <c r="E45" s="74" t="s">
        <v>240</v>
      </c>
      <c r="F45" s="75" t="s">
        <v>241</v>
      </c>
      <c r="G45" s="76" t="s">
        <v>99</v>
      </c>
      <c r="H45" s="77">
        <v>1</v>
      </c>
      <c r="I45" s="78">
        <v>270.94</v>
      </c>
      <c r="J45" s="77">
        <v>270.89999999999998</v>
      </c>
      <c r="K45" s="68">
        <v>0</v>
      </c>
      <c r="L45" s="69">
        <f t="shared" si="2"/>
        <v>270.94</v>
      </c>
      <c r="M45" s="273">
        <f t="shared" si="3"/>
        <v>0</v>
      </c>
      <c r="N45" s="71">
        <f t="shared" si="4"/>
        <v>1</v>
      </c>
      <c r="O45" s="72">
        <f t="shared" si="5"/>
        <v>270.94</v>
      </c>
      <c r="P45" s="274">
        <f t="shared" si="6"/>
        <v>270.94</v>
      </c>
      <c r="Q45" s="237">
        <f t="shared" si="7"/>
        <v>1.06</v>
      </c>
      <c r="R45" s="121">
        <f t="shared" si="0"/>
        <v>0.05</v>
      </c>
      <c r="S45" s="194">
        <f t="shared" si="1"/>
        <v>0.95</v>
      </c>
    </row>
    <row r="46" spans="2:21" s="121" customFormat="1" ht="16.5" customHeight="1" x14ac:dyDescent="0.2">
      <c r="B46" s="120"/>
      <c r="C46" s="56" t="s">
        <v>186</v>
      </c>
      <c r="D46" s="56" t="s">
        <v>96</v>
      </c>
      <c r="E46" s="57" t="s">
        <v>246</v>
      </c>
      <c r="F46" s="58" t="s">
        <v>247</v>
      </c>
      <c r="G46" s="59" t="s">
        <v>99</v>
      </c>
      <c r="H46" s="60">
        <v>3</v>
      </c>
      <c r="I46" s="61">
        <v>152.57</v>
      </c>
      <c r="J46" s="60">
        <v>457.7</v>
      </c>
      <c r="K46" s="68">
        <v>0</v>
      </c>
      <c r="L46" s="69">
        <f t="shared" si="2"/>
        <v>152.57</v>
      </c>
      <c r="M46" s="273">
        <f t="shared" si="3"/>
        <v>0</v>
      </c>
      <c r="N46" s="71">
        <f t="shared" si="4"/>
        <v>3</v>
      </c>
      <c r="O46" s="72">
        <f t="shared" si="5"/>
        <v>152.57</v>
      </c>
      <c r="P46" s="274">
        <f t="shared" si="6"/>
        <v>457.71</v>
      </c>
      <c r="Q46" s="237">
        <f t="shared" si="7"/>
        <v>3.19</v>
      </c>
      <c r="R46" s="121">
        <f t="shared" si="0"/>
        <v>0.15000000000000002</v>
      </c>
      <c r="S46" s="194">
        <f t="shared" si="1"/>
        <v>2.85</v>
      </c>
    </row>
    <row r="47" spans="2:21" s="121" customFormat="1" ht="16.5" customHeight="1" x14ac:dyDescent="0.2">
      <c r="B47" s="120"/>
      <c r="C47" s="73" t="s">
        <v>189</v>
      </c>
      <c r="D47" s="73" t="s">
        <v>209</v>
      </c>
      <c r="E47" s="74" t="s">
        <v>249</v>
      </c>
      <c r="F47" s="75" t="s">
        <v>250</v>
      </c>
      <c r="G47" s="76" t="s">
        <v>99</v>
      </c>
      <c r="H47" s="77">
        <v>3</v>
      </c>
      <c r="I47" s="78">
        <v>395.88</v>
      </c>
      <c r="J47" s="77">
        <v>1187.5999999999999</v>
      </c>
      <c r="K47" s="68">
        <v>0</v>
      </c>
      <c r="L47" s="69">
        <f t="shared" si="2"/>
        <v>395.88</v>
      </c>
      <c r="M47" s="273">
        <f t="shared" si="3"/>
        <v>0</v>
      </c>
      <c r="N47" s="71">
        <f t="shared" si="4"/>
        <v>3</v>
      </c>
      <c r="O47" s="72">
        <f t="shared" si="5"/>
        <v>395.88</v>
      </c>
      <c r="P47" s="274">
        <f t="shared" si="6"/>
        <v>1187.6399999999999</v>
      </c>
      <c r="Q47" s="237">
        <f t="shared" si="7"/>
        <v>3.19</v>
      </c>
      <c r="R47" s="121">
        <f t="shared" ref="R47:R78" si="9">H47*0.05</f>
        <v>0.15000000000000002</v>
      </c>
      <c r="S47" s="194">
        <f t="shared" ref="S47:S78" si="10">H47-R47</f>
        <v>2.85</v>
      </c>
    </row>
    <row r="48" spans="2:21" s="121" customFormat="1" ht="22.5" x14ac:dyDescent="0.2">
      <c r="B48" s="120"/>
      <c r="C48" s="56" t="s">
        <v>192</v>
      </c>
      <c r="D48" s="56" t="s">
        <v>96</v>
      </c>
      <c r="E48" s="57" t="s">
        <v>252</v>
      </c>
      <c r="F48" s="58" t="s">
        <v>253</v>
      </c>
      <c r="G48" s="59" t="s">
        <v>150</v>
      </c>
      <c r="H48" s="60">
        <v>16.23</v>
      </c>
      <c r="I48" s="61">
        <v>3239.16</v>
      </c>
      <c r="J48" s="60">
        <v>52571.6</v>
      </c>
      <c r="K48" s="68">
        <f t="shared" ref="K48:K49" si="11">ROUND(126.8/122.5*Q48-Q48,2)</f>
        <v>0.61</v>
      </c>
      <c r="L48" s="69">
        <f t="shared" si="2"/>
        <v>3239.16</v>
      </c>
      <c r="M48" s="273">
        <f t="shared" si="3"/>
        <v>1975.8875999999998</v>
      </c>
      <c r="N48" s="71">
        <f t="shared" si="4"/>
        <v>16.84</v>
      </c>
      <c r="O48" s="72">
        <f t="shared" si="5"/>
        <v>3239.16</v>
      </c>
      <c r="P48" s="274">
        <f t="shared" si="6"/>
        <v>54547.454399999995</v>
      </c>
      <c r="Q48" s="237">
        <f t="shared" si="7"/>
        <v>17.25</v>
      </c>
      <c r="R48" s="121">
        <f t="shared" si="9"/>
        <v>0.81150000000000011</v>
      </c>
      <c r="S48" s="194">
        <f t="shared" si="10"/>
        <v>15.4185</v>
      </c>
      <c r="T48" s="190" t="s">
        <v>1113</v>
      </c>
      <c r="U48" s="121" t="s">
        <v>925</v>
      </c>
    </row>
    <row r="49" spans="2:21" s="121" customFormat="1" ht="16.5" customHeight="1" x14ac:dyDescent="0.2">
      <c r="B49" s="120"/>
      <c r="C49" s="56" t="s">
        <v>195</v>
      </c>
      <c r="D49" s="56" t="s">
        <v>96</v>
      </c>
      <c r="E49" s="57" t="s">
        <v>255</v>
      </c>
      <c r="F49" s="58" t="s">
        <v>256</v>
      </c>
      <c r="G49" s="59" t="s">
        <v>150</v>
      </c>
      <c r="H49" s="60">
        <v>1.26</v>
      </c>
      <c r="I49" s="61">
        <v>3188.13</v>
      </c>
      <c r="J49" s="60">
        <v>4017</v>
      </c>
      <c r="K49" s="68">
        <f t="shared" si="11"/>
        <v>0.05</v>
      </c>
      <c r="L49" s="69">
        <f t="shared" si="2"/>
        <v>3188.13</v>
      </c>
      <c r="M49" s="273">
        <f t="shared" si="3"/>
        <v>159.40650000000002</v>
      </c>
      <c r="N49" s="71">
        <f t="shared" si="4"/>
        <v>1.31</v>
      </c>
      <c r="O49" s="72">
        <f t="shared" si="5"/>
        <v>3188.13</v>
      </c>
      <c r="P49" s="274">
        <f t="shared" si="6"/>
        <v>4176.4503000000004</v>
      </c>
      <c r="Q49" s="237">
        <f t="shared" si="7"/>
        <v>1.34</v>
      </c>
      <c r="R49" s="121">
        <f t="shared" si="9"/>
        <v>6.3E-2</v>
      </c>
      <c r="S49" s="194">
        <f t="shared" si="10"/>
        <v>1.1970000000000001</v>
      </c>
      <c r="T49" s="186" t="s">
        <v>1114</v>
      </c>
      <c r="U49" s="121" t="s">
        <v>1130</v>
      </c>
    </row>
    <row r="50" spans="2:21" s="170" customFormat="1" ht="22.9" customHeight="1" x14ac:dyDescent="0.2">
      <c r="B50" s="165"/>
      <c r="C50" s="252"/>
      <c r="D50" s="253" t="s">
        <v>4</v>
      </c>
      <c r="E50" s="254" t="s">
        <v>105</v>
      </c>
      <c r="F50" s="254" t="s">
        <v>257</v>
      </c>
      <c r="G50" s="252"/>
      <c r="H50" s="252"/>
      <c r="I50" s="255"/>
      <c r="J50" s="256">
        <f>+SUBTOTAL(9,J51:J55)</f>
        <v>152740.5</v>
      </c>
      <c r="K50" s="261"/>
      <c r="L50" s="262"/>
      <c r="M50" s="279">
        <f>SUM(M51:M55)</f>
        <v>0</v>
      </c>
      <c r="N50" s="280"/>
      <c r="O50" s="262"/>
      <c r="P50" s="279">
        <f>SUM(P51:P55)</f>
        <v>152740.41800000001</v>
      </c>
      <c r="Q50" s="237">
        <f t="shared" si="7"/>
        <v>0</v>
      </c>
      <c r="R50" s="121">
        <f t="shared" si="9"/>
        <v>0</v>
      </c>
      <c r="S50" s="194">
        <f t="shared" si="10"/>
        <v>0</v>
      </c>
    </row>
    <row r="51" spans="2:21" s="121" customFormat="1" ht="16.5" customHeight="1" x14ac:dyDescent="0.2">
      <c r="B51" s="120"/>
      <c r="C51" s="56" t="s">
        <v>198</v>
      </c>
      <c r="D51" s="56" t="s">
        <v>96</v>
      </c>
      <c r="E51" s="57" t="s">
        <v>262</v>
      </c>
      <c r="F51" s="58" t="s">
        <v>263</v>
      </c>
      <c r="G51" s="59" t="s">
        <v>108</v>
      </c>
      <c r="H51" s="60">
        <v>91.3</v>
      </c>
      <c r="I51" s="61">
        <v>302.54000000000002</v>
      </c>
      <c r="J51" s="60">
        <v>27621.9</v>
      </c>
      <c r="K51" s="68">
        <v>0</v>
      </c>
      <c r="L51" s="69">
        <f t="shared" si="2"/>
        <v>302.54000000000002</v>
      </c>
      <c r="M51" s="273">
        <f t="shared" si="3"/>
        <v>0</v>
      </c>
      <c r="N51" s="71">
        <f t="shared" si="4"/>
        <v>91.3</v>
      </c>
      <c r="O51" s="72">
        <f t="shared" si="5"/>
        <v>302.54000000000002</v>
      </c>
      <c r="P51" s="274">
        <f t="shared" si="6"/>
        <v>27621.902000000002</v>
      </c>
      <c r="Q51" s="237">
        <f t="shared" si="7"/>
        <v>97.05</v>
      </c>
      <c r="R51" s="121">
        <f t="shared" si="9"/>
        <v>4.5650000000000004</v>
      </c>
      <c r="S51" s="194">
        <f t="shared" si="10"/>
        <v>86.734999999999999</v>
      </c>
    </row>
    <row r="52" spans="2:21" s="121" customFormat="1" ht="16.5" customHeight="1" x14ac:dyDescent="0.2">
      <c r="B52" s="120"/>
      <c r="C52" s="56" t="s">
        <v>202</v>
      </c>
      <c r="D52" s="56" t="s">
        <v>96</v>
      </c>
      <c r="E52" s="57" t="s">
        <v>268</v>
      </c>
      <c r="F52" s="58" t="s">
        <v>269</v>
      </c>
      <c r="G52" s="59" t="s">
        <v>108</v>
      </c>
      <c r="H52" s="60">
        <v>91.3</v>
      </c>
      <c r="I52" s="61">
        <v>14.18</v>
      </c>
      <c r="J52" s="60">
        <v>1294.5999999999999</v>
      </c>
      <c r="K52" s="68">
        <v>0</v>
      </c>
      <c r="L52" s="69">
        <f t="shared" si="2"/>
        <v>14.18</v>
      </c>
      <c r="M52" s="273">
        <f t="shared" si="3"/>
        <v>0</v>
      </c>
      <c r="N52" s="71">
        <f t="shared" si="4"/>
        <v>91.3</v>
      </c>
      <c r="O52" s="72">
        <f t="shared" si="5"/>
        <v>14.18</v>
      </c>
      <c r="P52" s="274">
        <f t="shared" si="6"/>
        <v>1294.634</v>
      </c>
      <c r="Q52" s="237">
        <f t="shared" si="7"/>
        <v>97.05</v>
      </c>
      <c r="R52" s="121">
        <f t="shared" si="9"/>
        <v>4.5650000000000004</v>
      </c>
      <c r="S52" s="194">
        <f t="shared" si="10"/>
        <v>86.734999999999999</v>
      </c>
    </row>
    <row r="53" spans="2:21" s="121" customFormat="1" ht="16.5" customHeight="1" x14ac:dyDescent="0.2">
      <c r="B53" s="120"/>
      <c r="C53" s="56" t="s">
        <v>205</v>
      </c>
      <c r="D53" s="56" t="s">
        <v>96</v>
      </c>
      <c r="E53" s="57" t="s">
        <v>271</v>
      </c>
      <c r="F53" s="58" t="s">
        <v>272</v>
      </c>
      <c r="G53" s="59" t="s">
        <v>108</v>
      </c>
      <c r="H53" s="60">
        <v>174.3</v>
      </c>
      <c r="I53" s="61">
        <v>20.62</v>
      </c>
      <c r="J53" s="60">
        <v>3594.1</v>
      </c>
      <c r="K53" s="68">
        <v>0</v>
      </c>
      <c r="L53" s="69">
        <f t="shared" si="2"/>
        <v>20.62</v>
      </c>
      <c r="M53" s="273">
        <f t="shared" si="3"/>
        <v>0</v>
      </c>
      <c r="N53" s="71">
        <f t="shared" si="4"/>
        <v>174.3</v>
      </c>
      <c r="O53" s="72">
        <f t="shared" si="5"/>
        <v>20.62</v>
      </c>
      <c r="P53" s="274">
        <f t="shared" si="6"/>
        <v>3594.0660000000003</v>
      </c>
      <c r="Q53" s="237">
        <f t="shared" si="7"/>
        <v>185.28</v>
      </c>
      <c r="R53" s="121">
        <f t="shared" si="9"/>
        <v>8.7150000000000016</v>
      </c>
      <c r="S53" s="194">
        <f t="shared" si="10"/>
        <v>165.58500000000001</v>
      </c>
    </row>
    <row r="54" spans="2:21" s="121" customFormat="1" ht="16.5" customHeight="1" x14ac:dyDescent="0.2">
      <c r="B54" s="120"/>
      <c r="C54" s="56" t="s">
        <v>208</v>
      </c>
      <c r="D54" s="56" t="s">
        <v>96</v>
      </c>
      <c r="E54" s="57" t="s">
        <v>274</v>
      </c>
      <c r="F54" s="58" t="s">
        <v>275</v>
      </c>
      <c r="G54" s="59" t="s">
        <v>108</v>
      </c>
      <c r="H54" s="60">
        <v>174.3</v>
      </c>
      <c r="I54" s="61">
        <v>396.71</v>
      </c>
      <c r="J54" s="60">
        <v>69146.600000000006</v>
      </c>
      <c r="K54" s="68">
        <v>0</v>
      </c>
      <c r="L54" s="69">
        <f t="shared" si="2"/>
        <v>396.71</v>
      </c>
      <c r="M54" s="273">
        <f t="shared" si="3"/>
        <v>0</v>
      </c>
      <c r="N54" s="71">
        <f t="shared" si="4"/>
        <v>174.3</v>
      </c>
      <c r="O54" s="72">
        <f t="shared" si="5"/>
        <v>396.71</v>
      </c>
      <c r="P54" s="274">
        <f t="shared" si="6"/>
        <v>69146.553</v>
      </c>
      <c r="Q54" s="237">
        <f t="shared" si="7"/>
        <v>185.28</v>
      </c>
      <c r="R54" s="121">
        <f t="shared" si="9"/>
        <v>8.7150000000000016</v>
      </c>
      <c r="S54" s="194">
        <f t="shared" si="10"/>
        <v>165.58500000000001</v>
      </c>
    </row>
    <row r="55" spans="2:21" s="121" customFormat="1" ht="16.5" customHeight="1" x14ac:dyDescent="0.2">
      <c r="B55" s="120"/>
      <c r="C55" s="56" t="s">
        <v>212</v>
      </c>
      <c r="D55" s="56" t="s">
        <v>96</v>
      </c>
      <c r="E55" s="57" t="s">
        <v>277</v>
      </c>
      <c r="F55" s="58" t="s">
        <v>278</v>
      </c>
      <c r="G55" s="59" t="s">
        <v>108</v>
      </c>
      <c r="H55" s="60">
        <v>91.3</v>
      </c>
      <c r="I55" s="61">
        <v>559.51</v>
      </c>
      <c r="J55" s="60">
        <v>51083.3</v>
      </c>
      <c r="K55" s="68">
        <v>0</v>
      </c>
      <c r="L55" s="69">
        <f t="shared" si="2"/>
        <v>559.51</v>
      </c>
      <c r="M55" s="273">
        <f t="shared" si="3"/>
        <v>0</v>
      </c>
      <c r="N55" s="71">
        <f t="shared" si="4"/>
        <v>91.3</v>
      </c>
      <c r="O55" s="72">
        <f t="shared" si="5"/>
        <v>559.51</v>
      </c>
      <c r="P55" s="274">
        <f t="shared" si="6"/>
        <v>51083.262999999999</v>
      </c>
      <c r="Q55" s="237">
        <f t="shared" si="7"/>
        <v>97.05</v>
      </c>
      <c r="R55" s="121">
        <f t="shared" si="9"/>
        <v>4.5650000000000004</v>
      </c>
      <c r="S55" s="194">
        <f t="shared" si="10"/>
        <v>86.734999999999999</v>
      </c>
    </row>
    <row r="56" spans="2:21" s="170" customFormat="1" ht="22.9" customHeight="1" x14ac:dyDescent="0.2">
      <c r="B56" s="165"/>
      <c r="C56" s="252"/>
      <c r="D56" s="253" t="s">
        <v>4</v>
      </c>
      <c r="E56" s="254" t="s">
        <v>115</v>
      </c>
      <c r="F56" s="254" t="s">
        <v>288</v>
      </c>
      <c r="G56" s="252"/>
      <c r="H56" s="252"/>
      <c r="I56" s="255"/>
      <c r="J56" s="256">
        <f>+SUBTOTAL(9,J57:J76)</f>
        <v>370766.00000000006</v>
      </c>
      <c r="K56" s="261"/>
      <c r="L56" s="262"/>
      <c r="M56" s="279">
        <f>SUM(M57:M76)</f>
        <v>7265.5809999999992</v>
      </c>
      <c r="N56" s="280"/>
      <c r="O56" s="262"/>
      <c r="P56" s="279">
        <f>SUM(P57:P76)</f>
        <v>378031.46209999995</v>
      </c>
      <c r="Q56" s="237">
        <f t="shared" si="7"/>
        <v>0</v>
      </c>
      <c r="R56" s="121">
        <f t="shared" si="9"/>
        <v>0</v>
      </c>
      <c r="S56" s="194">
        <f t="shared" si="10"/>
        <v>0</v>
      </c>
    </row>
    <row r="57" spans="2:21" s="121" customFormat="1" ht="16.5" customHeight="1" x14ac:dyDescent="0.2">
      <c r="B57" s="120"/>
      <c r="C57" s="56" t="s">
        <v>215</v>
      </c>
      <c r="D57" s="56" t="s">
        <v>96</v>
      </c>
      <c r="E57" s="57" t="s">
        <v>296</v>
      </c>
      <c r="F57" s="58" t="s">
        <v>297</v>
      </c>
      <c r="G57" s="59" t="s">
        <v>133</v>
      </c>
      <c r="H57" s="60">
        <v>115.24</v>
      </c>
      <c r="I57" s="61">
        <v>552.39</v>
      </c>
      <c r="J57" s="60">
        <v>63657.4</v>
      </c>
      <c r="K57" s="68">
        <f>ROUND(126.8-Q57,2)</f>
        <v>4.3</v>
      </c>
      <c r="L57" s="69">
        <f t="shared" si="2"/>
        <v>552.39</v>
      </c>
      <c r="M57" s="273">
        <f t="shared" si="3"/>
        <v>2375.277</v>
      </c>
      <c r="N57" s="71">
        <f t="shared" si="4"/>
        <v>119.53999999999999</v>
      </c>
      <c r="O57" s="72">
        <f t="shared" si="5"/>
        <v>552.39</v>
      </c>
      <c r="P57" s="274">
        <f t="shared" si="6"/>
        <v>66032.700599999996</v>
      </c>
      <c r="Q57" s="237">
        <f t="shared" si="7"/>
        <v>122.5</v>
      </c>
      <c r="R57" s="121">
        <f t="shared" si="9"/>
        <v>5.7620000000000005</v>
      </c>
      <c r="S57" s="194">
        <f t="shared" si="10"/>
        <v>109.47799999999999</v>
      </c>
    </row>
    <row r="58" spans="2:21" s="121" customFormat="1" ht="16.5" customHeight="1" x14ac:dyDescent="0.2">
      <c r="B58" s="120"/>
      <c r="C58" s="73" t="s">
        <v>219</v>
      </c>
      <c r="D58" s="73" t="s">
        <v>209</v>
      </c>
      <c r="E58" s="74" t="s">
        <v>299</v>
      </c>
      <c r="F58" s="75" t="s">
        <v>300</v>
      </c>
      <c r="G58" s="76" t="s">
        <v>133</v>
      </c>
      <c r="H58" s="77">
        <v>115.24</v>
      </c>
      <c r="I58" s="78">
        <v>1060.07</v>
      </c>
      <c r="J58" s="77">
        <v>122162.5</v>
      </c>
      <c r="K58" s="68">
        <f>ROUND(126.8-Q58,2)</f>
        <v>4.3</v>
      </c>
      <c r="L58" s="69">
        <f t="shared" si="2"/>
        <v>1060.07</v>
      </c>
      <c r="M58" s="273">
        <f t="shared" si="3"/>
        <v>4558.3009999999995</v>
      </c>
      <c r="N58" s="71">
        <f t="shared" si="4"/>
        <v>119.53999999999999</v>
      </c>
      <c r="O58" s="72">
        <f t="shared" si="5"/>
        <v>1060.07</v>
      </c>
      <c r="P58" s="274">
        <f t="shared" si="6"/>
        <v>126720.76779999999</v>
      </c>
      <c r="Q58" s="237">
        <f t="shared" si="7"/>
        <v>122.5</v>
      </c>
      <c r="R58" s="121">
        <f t="shared" si="9"/>
        <v>5.7620000000000005</v>
      </c>
      <c r="S58" s="194">
        <f t="shared" si="10"/>
        <v>109.47799999999999</v>
      </c>
    </row>
    <row r="59" spans="2:21" s="121" customFormat="1" ht="16.5" customHeight="1" x14ac:dyDescent="0.2">
      <c r="B59" s="120"/>
      <c r="C59" s="73" t="s">
        <v>223</v>
      </c>
      <c r="D59" s="73" t="s">
        <v>209</v>
      </c>
      <c r="E59" s="74" t="s">
        <v>302</v>
      </c>
      <c r="F59" s="75" t="s">
        <v>303</v>
      </c>
      <c r="G59" s="76" t="s">
        <v>99</v>
      </c>
      <c r="H59" s="77">
        <v>8</v>
      </c>
      <c r="I59" s="78">
        <v>739.15</v>
      </c>
      <c r="J59" s="77">
        <v>5913.2</v>
      </c>
      <c r="K59" s="68">
        <v>0</v>
      </c>
      <c r="L59" s="69">
        <f t="shared" si="2"/>
        <v>739.15</v>
      </c>
      <c r="M59" s="273">
        <f t="shared" si="3"/>
        <v>0</v>
      </c>
      <c r="N59" s="71">
        <f t="shared" si="4"/>
        <v>8</v>
      </c>
      <c r="O59" s="72">
        <f t="shared" si="5"/>
        <v>739.15</v>
      </c>
      <c r="P59" s="274">
        <f t="shared" si="6"/>
        <v>5913.2</v>
      </c>
      <c r="Q59" s="237">
        <f t="shared" si="7"/>
        <v>8.5</v>
      </c>
      <c r="R59" s="121">
        <f t="shared" si="9"/>
        <v>0.4</v>
      </c>
      <c r="S59" s="194">
        <f t="shared" si="10"/>
        <v>7.6</v>
      </c>
    </row>
    <row r="60" spans="2:21" s="121" customFormat="1" ht="16.5" customHeight="1" x14ac:dyDescent="0.2">
      <c r="B60" s="120"/>
      <c r="C60" s="56" t="s">
        <v>226</v>
      </c>
      <c r="D60" s="56" t="s">
        <v>96</v>
      </c>
      <c r="E60" s="57" t="s">
        <v>320</v>
      </c>
      <c r="F60" s="58" t="s">
        <v>321</v>
      </c>
      <c r="G60" s="59" t="s">
        <v>99</v>
      </c>
      <c r="H60" s="60">
        <v>3</v>
      </c>
      <c r="I60" s="61">
        <v>260.41000000000003</v>
      </c>
      <c r="J60" s="60">
        <v>781.2</v>
      </c>
      <c r="K60" s="68">
        <v>0</v>
      </c>
      <c r="L60" s="69">
        <f t="shared" si="2"/>
        <v>260.41000000000003</v>
      </c>
      <c r="M60" s="273">
        <f t="shared" si="3"/>
        <v>0</v>
      </c>
      <c r="N60" s="71">
        <f t="shared" si="4"/>
        <v>3</v>
      </c>
      <c r="O60" s="72">
        <f t="shared" si="5"/>
        <v>260.41000000000003</v>
      </c>
      <c r="P60" s="274">
        <f t="shared" si="6"/>
        <v>781.23</v>
      </c>
      <c r="Q60" s="237">
        <f t="shared" si="7"/>
        <v>3.19</v>
      </c>
      <c r="R60" s="121">
        <f t="shared" si="9"/>
        <v>0.15000000000000002</v>
      </c>
      <c r="S60" s="194">
        <f t="shared" si="10"/>
        <v>2.85</v>
      </c>
    </row>
    <row r="61" spans="2:21" s="121" customFormat="1" ht="16.5" customHeight="1" x14ac:dyDescent="0.2">
      <c r="B61" s="120"/>
      <c r="C61" s="73" t="s">
        <v>230</v>
      </c>
      <c r="D61" s="73" t="s">
        <v>209</v>
      </c>
      <c r="E61" s="74" t="s">
        <v>326</v>
      </c>
      <c r="F61" s="75" t="s">
        <v>327</v>
      </c>
      <c r="G61" s="76" t="s">
        <v>99</v>
      </c>
      <c r="H61" s="77">
        <v>3.05</v>
      </c>
      <c r="I61" s="78">
        <v>1801.85</v>
      </c>
      <c r="J61" s="77">
        <v>5495.6</v>
      </c>
      <c r="K61" s="68">
        <v>0</v>
      </c>
      <c r="L61" s="69">
        <f t="shared" si="2"/>
        <v>1801.85</v>
      </c>
      <c r="M61" s="273">
        <f t="shared" si="3"/>
        <v>0</v>
      </c>
      <c r="N61" s="71">
        <f t="shared" si="4"/>
        <v>3.05</v>
      </c>
      <c r="O61" s="72">
        <f t="shared" si="5"/>
        <v>1801.85</v>
      </c>
      <c r="P61" s="274">
        <f t="shared" si="6"/>
        <v>5495.642499999999</v>
      </c>
      <c r="Q61" s="237">
        <f t="shared" si="7"/>
        <v>3.24</v>
      </c>
      <c r="R61" s="121">
        <f t="shared" si="9"/>
        <v>0.1525</v>
      </c>
      <c r="S61" s="194">
        <f t="shared" si="10"/>
        <v>2.8975</v>
      </c>
    </row>
    <row r="62" spans="2:21" s="121" customFormat="1" ht="16.5" customHeight="1" x14ac:dyDescent="0.2">
      <c r="B62" s="120"/>
      <c r="C62" s="56" t="s">
        <v>233</v>
      </c>
      <c r="D62" s="56" t="s">
        <v>96</v>
      </c>
      <c r="E62" s="57" t="s">
        <v>329</v>
      </c>
      <c r="F62" s="58" t="s">
        <v>330</v>
      </c>
      <c r="G62" s="59" t="s">
        <v>99</v>
      </c>
      <c r="H62" s="60">
        <v>9</v>
      </c>
      <c r="I62" s="61">
        <v>219.64</v>
      </c>
      <c r="J62" s="60">
        <v>1976.8</v>
      </c>
      <c r="K62" s="68">
        <v>0</v>
      </c>
      <c r="L62" s="69">
        <f t="shared" si="2"/>
        <v>219.64</v>
      </c>
      <c r="M62" s="273">
        <f t="shared" si="3"/>
        <v>0</v>
      </c>
      <c r="N62" s="71">
        <f t="shared" si="4"/>
        <v>9</v>
      </c>
      <c r="O62" s="72">
        <f t="shared" si="5"/>
        <v>219.64</v>
      </c>
      <c r="P62" s="274">
        <f t="shared" si="6"/>
        <v>1976.7599999999998</v>
      </c>
      <c r="Q62" s="237">
        <f t="shared" si="7"/>
        <v>9.57</v>
      </c>
      <c r="R62" s="121">
        <f t="shared" si="9"/>
        <v>0.45</v>
      </c>
      <c r="S62" s="194">
        <f t="shared" si="10"/>
        <v>8.5500000000000007</v>
      </c>
    </row>
    <row r="63" spans="2:21" s="121" customFormat="1" ht="16.5" customHeight="1" x14ac:dyDescent="0.2">
      <c r="B63" s="120"/>
      <c r="C63" s="73" t="s">
        <v>236</v>
      </c>
      <c r="D63" s="73" t="s">
        <v>209</v>
      </c>
      <c r="E63" s="74" t="s">
        <v>332</v>
      </c>
      <c r="F63" s="75" t="s">
        <v>333</v>
      </c>
      <c r="G63" s="76" t="s">
        <v>99</v>
      </c>
      <c r="H63" s="77">
        <v>4.0599999999999996</v>
      </c>
      <c r="I63" s="78">
        <v>1129.77</v>
      </c>
      <c r="J63" s="77">
        <v>4586.8999999999996</v>
      </c>
      <c r="K63" s="68">
        <v>0</v>
      </c>
      <c r="L63" s="69">
        <f t="shared" si="2"/>
        <v>1129.77</v>
      </c>
      <c r="M63" s="273">
        <f t="shared" si="3"/>
        <v>0</v>
      </c>
      <c r="N63" s="71">
        <f t="shared" si="4"/>
        <v>4.0599999999999996</v>
      </c>
      <c r="O63" s="72">
        <f t="shared" si="5"/>
        <v>1129.77</v>
      </c>
      <c r="P63" s="274">
        <f t="shared" si="6"/>
        <v>4586.8661999999995</v>
      </c>
      <c r="Q63" s="237">
        <f t="shared" si="7"/>
        <v>4.32</v>
      </c>
      <c r="R63" s="121">
        <f t="shared" si="9"/>
        <v>0.20299999999999999</v>
      </c>
      <c r="S63" s="194">
        <f t="shared" si="10"/>
        <v>3.8569999999999998</v>
      </c>
    </row>
    <row r="64" spans="2:21" s="121" customFormat="1" ht="16.5" customHeight="1" x14ac:dyDescent="0.2">
      <c r="B64" s="120"/>
      <c r="C64" s="73" t="s">
        <v>239</v>
      </c>
      <c r="D64" s="73" t="s">
        <v>209</v>
      </c>
      <c r="E64" s="74" t="s">
        <v>335</v>
      </c>
      <c r="F64" s="75" t="s">
        <v>336</v>
      </c>
      <c r="G64" s="76" t="s">
        <v>99</v>
      </c>
      <c r="H64" s="77">
        <v>5.08</v>
      </c>
      <c r="I64" s="78">
        <v>1129.77</v>
      </c>
      <c r="J64" s="77">
        <v>5739.2</v>
      </c>
      <c r="K64" s="68">
        <v>0</v>
      </c>
      <c r="L64" s="69">
        <f t="shared" si="2"/>
        <v>1129.77</v>
      </c>
      <c r="M64" s="273">
        <f t="shared" si="3"/>
        <v>0</v>
      </c>
      <c r="N64" s="71">
        <f t="shared" si="4"/>
        <v>5.08</v>
      </c>
      <c r="O64" s="72">
        <f t="shared" si="5"/>
        <v>1129.77</v>
      </c>
      <c r="P64" s="274">
        <f t="shared" si="6"/>
        <v>5739.2316000000001</v>
      </c>
      <c r="Q64" s="237">
        <f t="shared" si="7"/>
        <v>5.4</v>
      </c>
      <c r="R64" s="121">
        <f t="shared" si="9"/>
        <v>0.254</v>
      </c>
      <c r="S64" s="194">
        <f t="shared" si="10"/>
        <v>4.8260000000000005</v>
      </c>
    </row>
    <row r="65" spans="2:19" s="121" customFormat="1" ht="33.75" customHeight="1" x14ac:dyDescent="0.2">
      <c r="B65" s="120"/>
      <c r="C65" s="56" t="s">
        <v>242</v>
      </c>
      <c r="D65" s="56" t="s">
        <v>96</v>
      </c>
      <c r="E65" s="57" t="s">
        <v>347</v>
      </c>
      <c r="F65" s="58" t="s">
        <v>348</v>
      </c>
      <c r="G65" s="59" t="s">
        <v>133</v>
      </c>
      <c r="H65" s="60">
        <v>115.24</v>
      </c>
      <c r="I65" s="61">
        <v>68</v>
      </c>
      <c r="J65" s="60">
        <v>7836.3</v>
      </c>
      <c r="K65" s="68">
        <f>ROUND(126.8-Q65,2)</f>
        <v>4.3</v>
      </c>
      <c r="L65" s="69">
        <f t="shared" si="2"/>
        <v>68</v>
      </c>
      <c r="M65" s="273">
        <f t="shared" si="3"/>
        <v>292.39999999999998</v>
      </c>
      <c r="N65" s="71">
        <f t="shared" si="4"/>
        <v>119.53999999999999</v>
      </c>
      <c r="O65" s="72">
        <f t="shared" si="5"/>
        <v>68</v>
      </c>
      <c r="P65" s="274">
        <f t="shared" si="6"/>
        <v>8128.7199999999993</v>
      </c>
      <c r="Q65" s="237">
        <f t="shared" si="7"/>
        <v>122.5</v>
      </c>
      <c r="R65" s="121">
        <f t="shared" si="9"/>
        <v>5.7620000000000005</v>
      </c>
      <c r="S65" s="194">
        <f t="shared" si="10"/>
        <v>109.47799999999999</v>
      </c>
    </row>
    <row r="66" spans="2:19" s="121" customFormat="1" ht="16.5" customHeight="1" x14ac:dyDescent="0.2">
      <c r="B66" s="120"/>
      <c r="C66" s="56" t="s">
        <v>245</v>
      </c>
      <c r="D66" s="56" t="s">
        <v>96</v>
      </c>
      <c r="E66" s="57" t="s">
        <v>350</v>
      </c>
      <c r="F66" s="58" t="s">
        <v>351</v>
      </c>
      <c r="G66" s="59" t="s">
        <v>99</v>
      </c>
      <c r="H66" s="60">
        <v>7</v>
      </c>
      <c r="I66" s="61">
        <v>808.86</v>
      </c>
      <c r="J66" s="60">
        <v>5662</v>
      </c>
      <c r="K66" s="68">
        <v>0</v>
      </c>
      <c r="L66" s="69">
        <f t="shared" si="2"/>
        <v>808.86</v>
      </c>
      <c r="M66" s="273">
        <f t="shared" si="3"/>
        <v>0</v>
      </c>
      <c r="N66" s="71">
        <f t="shared" si="4"/>
        <v>7</v>
      </c>
      <c r="O66" s="72">
        <f t="shared" si="5"/>
        <v>808.86</v>
      </c>
      <c r="P66" s="274">
        <f t="shared" si="6"/>
        <v>5662.02</v>
      </c>
      <c r="Q66" s="237">
        <f t="shared" si="7"/>
        <v>7.44</v>
      </c>
      <c r="R66" s="121">
        <f t="shared" si="9"/>
        <v>0.35000000000000003</v>
      </c>
      <c r="S66" s="194">
        <f t="shared" si="10"/>
        <v>6.65</v>
      </c>
    </row>
    <row r="67" spans="2:19" s="121" customFormat="1" ht="16.5" customHeight="1" x14ac:dyDescent="0.2">
      <c r="B67" s="120"/>
      <c r="C67" s="73" t="s">
        <v>248</v>
      </c>
      <c r="D67" s="73" t="s">
        <v>209</v>
      </c>
      <c r="E67" s="74" t="s">
        <v>356</v>
      </c>
      <c r="F67" s="75" t="s">
        <v>357</v>
      </c>
      <c r="G67" s="76" t="s">
        <v>99</v>
      </c>
      <c r="H67" s="77">
        <v>5</v>
      </c>
      <c r="I67" s="78">
        <v>1202.1099999999999</v>
      </c>
      <c r="J67" s="77">
        <v>6010.6</v>
      </c>
      <c r="K67" s="68">
        <v>0</v>
      </c>
      <c r="L67" s="69">
        <f t="shared" si="2"/>
        <v>1202.1099999999999</v>
      </c>
      <c r="M67" s="273">
        <f t="shared" si="3"/>
        <v>0</v>
      </c>
      <c r="N67" s="71">
        <f t="shared" si="4"/>
        <v>5</v>
      </c>
      <c r="O67" s="72">
        <f t="shared" si="5"/>
        <v>1202.1099999999999</v>
      </c>
      <c r="P67" s="274">
        <f t="shared" si="6"/>
        <v>6010.5499999999993</v>
      </c>
      <c r="Q67" s="237">
        <f t="shared" si="7"/>
        <v>5.31</v>
      </c>
      <c r="R67" s="121">
        <f t="shared" si="9"/>
        <v>0.25</v>
      </c>
      <c r="S67" s="194">
        <f t="shared" si="10"/>
        <v>4.75</v>
      </c>
    </row>
    <row r="68" spans="2:19" s="121" customFormat="1" ht="16.5" customHeight="1" x14ac:dyDescent="0.2">
      <c r="B68" s="120"/>
      <c r="C68" s="73" t="s">
        <v>251</v>
      </c>
      <c r="D68" s="73" t="s">
        <v>209</v>
      </c>
      <c r="E68" s="74" t="s">
        <v>359</v>
      </c>
      <c r="F68" s="75" t="s">
        <v>360</v>
      </c>
      <c r="G68" s="76" t="s">
        <v>99</v>
      </c>
      <c r="H68" s="77">
        <v>2</v>
      </c>
      <c r="I68" s="78">
        <v>775.98</v>
      </c>
      <c r="J68" s="77">
        <v>1552</v>
      </c>
      <c r="K68" s="68">
        <v>0</v>
      </c>
      <c r="L68" s="69">
        <f t="shared" si="2"/>
        <v>775.98</v>
      </c>
      <c r="M68" s="273">
        <f t="shared" si="3"/>
        <v>0</v>
      </c>
      <c r="N68" s="71">
        <f t="shared" si="4"/>
        <v>2</v>
      </c>
      <c r="O68" s="72">
        <f t="shared" si="5"/>
        <v>775.98</v>
      </c>
      <c r="P68" s="274">
        <f t="shared" si="6"/>
        <v>1551.96</v>
      </c>
      <c r="Q68" s="237">
        <f t="shared" si="7"/>
        <v>2.13</v>
      </c>
      <c r="R68" s="121">
        <f t="shared" si="9"/>
        <v>0.1</v>
      </c>
      <c r="S68" s="194">
        <f t="shared" si="10"/>
        <v>1.9</v>
      </c>
    </row>
    <row r="69" spans="2:19" s="121" customFormat="1" ht="16.5" customHeight="1" x14ac:dyDescent="0.2">
      <c r="B69" s="120"/>
      <c r="C69" s="73" t="s">
        <v>254</v>
      </c>
      <c r="D69" s="73" t="s">
        <v>209</v>
      </c>
      <c r="E69" s="74" t="s">
        <v>362</v>
      </c>
      <c r="F69" s="75" t="s">
        <v>363</v>
      </c>
      <c r="G69" s="76" t="s">
        <v>99</v>
      </c>
      <c r="H69" s="77">
        <v>12</v>
      </c>
      <c r="I69" s="78">
        <v>211.75</v>
      </c>
      <c r="J69" s="77">
        <v>2541</v>
      </c>
      <c r="K69" s="68">
        <v>0</v>
      </c>
      <c r="L69" s="69">
        <f t="shared" si="2"/>
        <v>211.75</v>
      </c>
      <c r="M69" s="273">
        <f t="shared" si="3"/>
        <v>0</v>
      </c>
      <c r="N69" s="71">
        <f t="shared" si="4"/>
        <v>12</v>
      </c>
      <c r="O69" s="72">
        <f t="shared" si="5"/>
        <v>211.75</v>
      </c>
      <c r="P69" s="274">
        <f t="shared" si="6"/>
        <v>2541</v>
      </c>
      <c r="Q69" s="237">
        <f t="shared" si="7"/>
        <v>12.76</v>
      </c>
      <c r="R69" s="121">
        <f t="shared" si="9"/>
        <v>0.60000000000000009</v>
      </c>
      <c r="S69" s="194">
        <f t="shared" si="10"/>
        <v>11.4</v>
      </c>
    </row>
    <row r="70" spans="2:19" s="121" customFormat="1" ht="16.5" customHeight="1" x14ac:dyDescent="0.2">
      <c r="B70" s="120"/>
      <c r="C70" s="56" t="s">
        <v>258</v>
      </c>
      <c r="D70" s="56" t="s">
        <v>96</v>
      </c>
      <c r="E70" s="57" t="s">
        <v>365</v>
      </c>
      <c r="F70" s="58" t="s">
        <v>366</v>
      </c>
      <c r="G70" s="59" t="s">
        <v>99</v>
      </c>
      <c r="H70" s="60">
        <v>5</v>
      </c>
      <c r="I70" s="61">
        <v>808.86</v>
      </c>
      <c r="J70" s="60">
        <v>4044.3</v>
      </c>
      <c r="K70" s="68">
        <v>0</v>
      </c>
      <c r="L70" s="69">
        <f t="shared" si="2"/>
        <v>808.86</v>
      </c>
      <c r="M70" s="273">
        <f t="shared" si="3"/>
        <v>0</v>
      </c>
      <c r="N70" s="71">
        <f t="shared" si="4"/>
        <v>5</v>
      </c>
      <c r="O70" s="72">
        <f t="shared" si="5"/>
        <v>808.86</v>
      </c>
      <c r="P70" s="274">
        <f t="shared" si="6"/>
        <v>4044.3</v>
      </c>
      <c r="Q70" s="237">
        <f t="shared" si="7"/>
        <v>5.31</v>
      </c>
      <c r="R70" s="121">
        <f t="shared" si="9"/>
        <v>0.25</v>
      </c>
      <c r="S70" s="194">
        <f t="shared" si="10"/>
        <v>4.75</v>
      </c>
    </row>
    <row r="71" spans="2:19" s="121" customFormat="1" ht="16.5" customHeight="1" x14ac:dyDescent="0.2">
      <c r="B71" s="120"/>
      <c r="C71" s="73" t="s">
        <v>261</v>
      </c>
      <c r="D71" s="73" t="s">
        <v>209</v>
      </c>
      <c r="E71" s="74" t="s">
        <v>368</v>
      </c>
      <c r="F71" s="75" t="s">
        <v>369</v>
      </c>
      <c r="G71" s="76" t="s">
        <v>99</v>
      </c>
      <c r="H71" s="77">
        <v>5</v>
      </c>
      <c r="I71" s="78">
        <v>1530.92</v>
      </c>
      <c r="J71" s="77">
        <v>7654.6</v>
      </c>
      <c r="K71" s="68">
        <v>0</v>
      </c>
      <c r="L71" s="69">
        <f t="shared" si="2"/>
        <v>1530.92</v>
      </c>
      <c r="M71" s="273">
        <f t="shared" si="3"/>
        <v>0</v>
      </c>
      <c r="N71" s="71">
        <f t="shared" si="4"/>
        <v>5</v>
      </c>
      <c r="O71" s="72">
        <f t="shared" si="5"/>
        <v>1530.92</v>
      </c>
      <c r="P71" s="274">
        <f t="shared" si="6"/>
        <v>7654.6</v>
      </c>
      <c r="Q71" s="237">
        <f t="shared" si="7"/>
        <v>5.31</v>
      </c>
      <c r="R71" s="121">
        <f t="shared" si="9"/>
        <v>0.25</v>
      </c>
      <c r="S71" s="194">
        <f t="shared" si="10"/>
        <v>4.75</v>
      </c>
    </row>
    <row r="72" spans="2:19" s="121" customFormat="1" ht="16.5" customHeight="1" x14ac:dyDescent="0.2">
      <c r="B72" s="120"/>
      <c r="C72" s="56" t="s">
        <v>264</v>
      </c>
      <c r="D72" s="56" t="s">
        <v>96</v>
      </c>
      <c r="E72" s="57" t="s">
        <v>371</v>
      </c>
      <c r="F72" s="58" t="s">
        <v>372</v>
      </c>
      <c r="G72" s="59" t="s">
        <v>99</v>
      </c>
      <c r="H72" s="60">
        <v>5</v>
      </c>
      <c r="I72" s="61">
        <v>3234.12</v>
      </c>
      <c r="J72" s="60">
        <v>16170.6</v>
      </c>
      <c r="K72" s="68">
        <v>0</v>
      </c>
      <c r="L72" s="69">
        <f t="shared" si="2"/>
        <v>3234.12</v>
      </c>
      <c r="M72" s="273">
        <f t="shared" si="3"/>
        <v>0</v>
      </c>
      <c r="N72" s="71">
        <f t="shared" si="4"/>
        <v>5</v>
      </c>
      <c r="O72" s="72">
        <f t="shared" si="5"/>
        <v>3234.12</v>
      </c>
      <c r="P72" s="274">
        <f t="shared" si="6"/>
        <v>16170.599999999999</v>
      </c>
      <c r="Q72" s="237">
        <f t="shared" si="7"/>
        <v>5.31</v>
      </c>
      <c r="R72" s="121">
        <f t="shared" si="9"/>
        <v>0.25</v>
      </c>
      <c r="S72" s="194">
        <f t="shared" si="10"/>
        <v>4.75</v>
      </c>
    </row>
    <row r="73" spans="2:19" s="121" customFormat="1" ht="16.5" customHeight="1" x14ac:dyDescent="0.2">
      <c r="B73" s="120"/>
      <c r="C73" s="73" t="s">
        <v>267</v>
      </c>
      <c r="D73" s="73" t="s">
        <v>209</v>
      </c>
      <c r="E73" s="74" t="s">
        <v>374</v>
      </c>
      <c r="F73" s="75" t="s">
        <v>375</v>
      </c>
      <c r="G73" s="76" t="s">
        <v>99</v>
      </c>
      <c r="H73" s="77">
        <v>5</v>
      </c>
      <c r="I73" s="78">
        <v>14588.41</v>
      </c>
      <c r="J73" s="77">
        <v>72942.100000000006</v>
      </c>
      <c r="K73" s="68">
        <v>0</v>
      </c>
      <c r="L73" s="69">
        <f t="shared" si="2"/>
        <v>14588.41</v>
      </c>
      <c r="M73" s="273">
        <f t="shared" si="3"/>
        <v>0</v>
      </c>
      <c r="N73" s="71">
        <f t="shared" si="4"/>
        <v>5</v>
      </c>
      <c r="O73" s="72">
        <f t="shared" si="5"/>
        <v>14588.41</v>
      </c>
      <c r="P73" s="274">
        <f t="shared" si="6"/>
        <v>72942.05</v>
      </c>
      <c r="Q73" s="237">
        <f t="shared" si="7"/>
        <v>5.31</v>
      </c>
      <c r="R73" s="121">
        <f t="shared" si="9"/>
        <v>0.25</v>
      </c>
      <c r="S73" s="194">
        <f t="shared" si="10"/>
        <v>4.75</v>
      </c>
    </row>
    <row r="74" spans="2:19" s="121" customFormat="1" ht="16.5" customHeight="1" x14ac:dyDescent="0.2">
      <c r="B74" s="120"/>
      <c r="C74" s="56" t="s">
        <v>270</v>
      </c>
      <c r="D74" s="56" t="s">
        <v>96</v>
      </c>
      <c r="E74" s="57" t="s">
        <v>377</v>
      </c>
      <c r="F74" s="58" t="s">
        <v>378</v>
      </c>
      <c r="G74" s="59" t="s">
        <v>99</v>
      </c>
      <c r="H74" s="60">
        <v>5</v>
      </c>
      <c r="I74" s="61">
        <v>485.32</v>
      </c>
      <c r="J74" s="60">
        <v>2426.6</v>
      </c>
      <c r="K74" s="68">
        <v>0</v>
      </c>
      <c r="L74" s="69">
        <f t="shared" si="2"/>
        <v>485.32</v>
      </c>
      <c r="M74" s="273">
        <f t="shared" si="3"/>
        <v>0</v>
      </c>
      <c r="N74" s="71">
        <f t="shared" si="4"/>
        <v>5</v>
      </c>
      <c r="O74" s="72">
        <f t="shared" si="5"/>
        <v>485.32</v>
      </c>
      <c r="P74" s="274">
        <f t="shared" si="6"/>
        <v>2426.6</v>
      </c>
      <c r="Q74" s="237">
        <f t="shared" si="7"/>
        <v>5.31</v>
      </c>
      <c r="R74" s="121">
        <f t="shared" si="9"/>
        <v>0.25</v>
      </c>
      <c r="S74" s="194">
        <f t="shared" si="10"/>
        <v>4.75</v>
      </c>
    </row>
    <row r="75" spans="2:19" s="121" customFormat="1" ht="16.5" customHeight="1" x14ac:dyDescent="0.2">
      <c r="B75" s="120"/>
      <c r="C75" s="73" t="s">
        <v>273</v>
      </c>
      <c r="D75" s="73" t="s">
        <v>209</v>
      </c>
      <c r="E75" s="74" t="s">
        <v>380</v>
      </c>
      <c r="F75" s="75" t="s">
        <v>381</v>
      </c>
      <c r="G75" s="76" t="s">
        <v>99</v>
      </c>
      <c r="H75" s="77">
        <v>5</v>
      </c>
      <c r="I75" s="78">
        <v>6510.34</v>
      </c>
      <c r="J75" s="77">
        <v>32551.7</v>
      </c>
      <c r="K75" s="68">
        <v>0</v>
      </c>
      <c r="L75" s="69">
        <f t="shared" si="2"/>
        <v>6510.34</v>
      </c>
      <c r="M75" s="273">
        <f t="shared" si="3"/>
        <v>0</v>
      </c>
      <c r="N75" s="71">
        <f t="shared" si="4"/>
        <v>5</v>
      </c>
      <c r="O75" s="72">
        <f t="shared" si="5"/>
        <v>6510.34</v>
      </c>
      <c r="P75" s="274">
        <f t="shared" si="6"/>
        <v>32551.7</v>
      </c>
      <c r="Q75" s="237">
        <f t="shared" si="7"/>
        <v>5.31</v>
      </c>
      <c r="R75" s="121">
        <f t="shared" si="9"/>
        <v>0.25</v>
      </c>
      <c r="S75" s="194">
        <f t="shared" si="10"/>
        <v>4.75</v>
      </c>
    </row>
    <row r="76" spans="2:19" s="121" customFormat="1" ht="16.5" customHeight="1" x14ac:dyDescent="0.2">
      <c r="B76" s="120"/>
      <c r="C76" s="56" t="s">
        <v>276</v>
      </c>
      <c r="D76" s="56" t="s">
        <v>96</v>
      </c>
      <c r="E76" s="57" t="s">
        <v>383</v>
      </c>
      <c r="F76" s="58" t="s">
        <v>384</v>
      </c>
      <c r="G76" s="59" t="s">
        <v>133</v>
      </c>
      <c r="H76" s="60">
        <v>115.24</v>
      </c>
      <c r="I76" s="61">
        <v>9.2100000000000009</v>
      </c>
      <c r="J76" s="60">
        <v>1061.4000000000001</v>
      </c>
      <c r="K76" s="68">
        <f>ROUND(126.8-Q76,2)</f>
        <v>4.3</v>
      </c>
      <c r="L76" s="69">
        <f t="shared" si="2"/>
        <v>9.2100000000000009</v>
      </c>
      <c r="M76" s="273">
        <f t="shared" si="3"/>
        <v>39.603000000000002</v>
      </c>
      <c r="N76" s="71">
        <f t="shared" si="4"/>
        <v>119.53999999999999</v>
      </c>
      <c r="O76" s="72">
        <f t="shared" si="5"/>
        <v>9.2100000000000009</v>
      </c>
      <c r="P76" s="274">
        <f t="shared" si="6"/>
        <v>1100.9634000000001</v>
      </c>
      <c r="Q76" s="237">
        <f t="shared" si="7"/>
        <v>122.5</v>
      </c>
      <c r="R76" s="121">
        <f t="shared" si="9"/>
        <v>5.7620000000000005</v>
      </c>
      <c r="S76" s="194">
        <f t="shared" si="10"/>
        <v>109.47799999999999</v>
      </c>
    </row>
    <row r="77" spans="2:19" s="170" customFormat="1" ht="22.9" customHeight="1" x14ac:dyDescent="0.2">
      <c r="B77" s="165"/>
      <c r="C77" s="252"/>
      <c r="D77" s="253" t="s">
        <v>4</v>
      </c>
      <c r="E77" s="254" t="s">
        <v>118</v>
      </c>
      <c r="F77" s="254" t="s">
        <v>385</v>
      </c>
      <c r="G77" s="252"/>
      <c r="H77" s="252"/>
      <c r="I77" s="255"/>
      <c r="J77" s="256">
        <f>+SUBTOTAL(9,J78:J79)</f>
        <v>26558.3</v>
      </c>
      <c r="K77" s="261"/>
      <c r="L77" s="262"/>
      <c r="M77" s="279">
        <f>SUM(M78:M79)</f>
        <v>0</v>
      </c>
      <c r="N77" s="280"/>
      <c r="O77" s="262"/>
      <c r="P77" s="279">
        <f>SUM(P78:P79)</f>
        <v>26558.340000000004</v>
      </c>
      <c r="Q77" s="237">
        <f t="shared" si="7"/>
        <v>0</v>
      </c>
      <c r="R77" s="121">
        <f t="shared" si="9"/>
        <v>0</v>
      </c>
      <c r="S77" s="194">
        <f t="shared" si="10"/>
        <v>0</v>
      </c>
    </row>
    <row r="78" spans="2:19" s="121" customFormat="1" ht="16.5" customHeight="1" x14ac:dyDescent="0.2">
      <c r="B78" s="120"/>
      <c r="C78" s="56" t="s">
        <v>279</v>
      </c>
      <c r="D78" s="56" t="s">
        <v>96</v>
      </c>
      <c r="E78" s="57" t="s">
        <v>387</v>
      </c>
      <c r="F78" s="58" t="s">
        <v>388</v>
      </c>
      <c r="G78" s="59" t="s">
        <v>133</v>
      </c>
      <c r="H78" s="60">
        <v>166</v>
      </c>
      <c r="I78" s="61">
        <v>87.65</v>
      </c>
      <c r="J78" s="60">
        <v>14549.9</v>
      </c>
      <c r="K78" s="68">
        <v>0</v>
      </c>
      <c r="L78" s="69">
        <f t="shared" si="2"/>
        <v>87.65</v>
      </c>
      <c r="M78" s="273">
        <f t="shared" si="3"/>
        <v>0</v>
      </c>
      <c r="N78" s="71">
        <f t="shared" si="4"/>
        <v>166</v>
      </c>
      <c r="O78" s="72">
        <f t="shared" si="5"/>
        <v>87.65</v>
      </c>
      <c r="P78" s="274">
        <f t="shared" si="6"/>
        <v>14549.900000000001</v>
      </c>
      <c r="Q78" s="237">
        <f t="shared" si="7"/>
        <v>176.46</v>
      </c>
      <c r="R78" s="121">
        <f t="shared" si="9"/>
        <v>8.3000000000000007</v>
      </c>
      <c r="S78" s="194">
        <f t="shared" si="10"/>
        <v>157.69999999999999</v>
      </c>
    </row>
    <row r="79" spans="2:19" s="121" customFormat="1" ht="16.5" customHeight="1" x14ac:dyDescent="0.2">
      <c r="B79" s="120"/>
      <c r="C79" s="56" t="s">
        <v>282</v>
      </c>
      <c r="D79" s="56" t="s">
        <v>96</v>
      </c>
      <c r="E79" s="57" t="s">
        <v>390</v>
      </c>
      <c r="F79" s="58" t="s">
        <v>391</v>
      </c>
      <c r="G79" s="59" t="s">
        <v>133</v>
      </c>
      <c r="H79" s="60">
        <v>166</v>
      </c>
      <c r="I79" s="61">
        <v>72.34</v>
      </c>
      <c r="J79" s="60">
        <v>12008.4</v>
      </c>
      <c r="K79" s="68">
        <v>0</v>
      </c>
      <c r="L79" s="69">
        <f t="shared" si="2"/>
        <v>72.34</v>
      </c>
      <c r="M79" s="273">
        <f t="shared" si="3"/>
        <v>0</v>
      </c>
      <c r="N79" s="71">
        <f t="shared" si="4"/>
        <v>166</v>
      </c>
      <c r="O79" s="72">
        <f t="shared" si="5"/>
        <v>72.34</v>
      </c>
      <c r="P79" s="274">
        <f t="shared" si="6"/>
        <v>12008.44</v>
      </c>
      <c r="Q79" s="237">
        <f t="shared" si="7"/>
        <v>176.46</v>
      </c>
      <c r="R79" s="121">
        <f t="shared" ref="R79:R85" si="12">H79*0.05</f>
        <v>8.3000000000000007</v>
      </c>
      <c r="S79" s="194">
        <f t="shared" ref="S79:S85" si="13">H79-R79</f>
        <v>157.69999999999999</v>
      </c>
    </row>
    <row r="80" spans="2:19" s="170" customFormat="1" ht="22.9" customHeight="1" x14ac:dyDescent="0.2">
      <c r="B80" s="165"/>
      <c r="C80" s="252"/>
      <c r="D80" s="253" t="s">
        <v>4</v>
      </c>
      <c r="E80" s="254" t="s">
        <v>398</v>
      </c>
      <c r="F80" s="254" t="s">
        <v>399</v>
      </c>
      <c r="G80" s="252"/>
      <c r="H80" s="252"/>
      <c r="I80" s="255"/>
      <c r="J80" s="256">
        <f>+SUBTOTAL(9,J81:J83)</f>
        <v>33767.9</v>
      </c>
      <c r="K80" s="261"/>
      <c r="L80" s="262"/>
      <c r="M80" s="279">
        <f>SUM(M81:M83)</f>
        <v>820.101</v>
      </c>
      <c r="N80" s="280"/>
      <c r="O80" s="262"/>
      <c r="P80" s="279">
        <f>SUM(P81:P83)</f>
        <v>34587.936099999999</v>
      </c>
      <c r="Q80" s="237">
        <f t="shared" ref="Q80:Q85" si="14">ROUND(122.5/115.24*H80,2)</f>
        <v>0</v>
      </c>
      <c r="R80" s="121">
        <f t="shared" si="12"/>
        <v>0</v>
      </c>
      <c r="S80" s="194">
        <f t="shared" si="13"/>
        <v>0</v>
      </c>
    </row>
    <row r="81" spans="2:19" s="121" customFormat="1" ht="16.5" customHeight="1" x14ac:dyDescent="0.2">
      <c r="B81" s="120"/>
      <c r="C81" s="56" t="s">
        <v>285</v>
      </c>
      <c r="D81" s="56" t="s">
        <v>96</v>
      </c>
      <c r="E81" s="57" t="s">
        <v>401</v>
      </c>
      <c r="F81" s="58" t="s">
        <v>402</v>
      </c>
      <c r="G81" s="59" t="s">
        <v>201</v>
      </c>
      <c r="H81" s="60">
        <v>85.86</v>
      </c>
      <c r="I81" s="61">
        <v>183.78</v>
      </c>
      <c r="J81" s="60">
        <v>15779.4</v>
      </c>
      <c r="K81" s="68">
        <f t="shared" ref="K81" si="15">ROUND(126.8/122.5*Q81-Q81,2)</f>
        <v>3.2</v>
      </c>
      <c r="L81" s="69">
        <f t="shared" ref="L81:L85" si="16">I81</f>
        <v>183.78</v>
      </c>
      <c r="M81" s="273">
        <f t="shared" ref="M81:M85" si="17">K81*L81</f>
        <v>588.096</v>
      </c>
      <c r="N81" s="71">
        <f t="shared" ref="N81:N85" si="18">H81+K81</f>
        <v>89.06</v>
      </c>
      <c r="O81" s="72">
        <f t="shared" ref="O81:O85" si="19">I81</f>
        <v>183.78</v>
      </c>
      <c r="P81" s="274">
        <f t="shared" ref="P81:P85" si="20">N81*O81</f>
        <v>16367.4468</v>
      </c>
      <c r="Q81" s="237">
        <f t="shared" si="14"/>
        <v>91.27</v>
      </c>
      <c r="R81" s="121">
        <f t="shared" si="12"/>
        <v>4.2930000000000001</v>
      </c>
      <c r="S81" s="194">
        <f t="shared" si="13"/>
        <v>81.566999999999993</v>
      </c>
    </row>
    <row r="82" spans="2:19" s="121" customFormat="1" ht="16.5" customHeight="1" x14ac:dyDescent="0.2">
      <c r="B82" s="120"/>
      <c r="C82" s="56" t="s">
        <v>289</v>
      </c>
      <c r="D82" s="56" t="s">
        <v>96</v>
      </c>
      <c r="E82" s="57" t="s">
        <v>407</v>
      </c>
      <c r="F82" s="58" t="s">
        <v>408</v>
      </c>
      <c r="G82" s="59" t="s">
        <v>201</v>
      </c>
      <c r="H82" s="60">
        <v>45.68</v>
      </c>
      <c r="I82" s="61">
        <v>257.77999999999997</v>
      </c>
      <c r="J82" s="60">
        <v>11775.4</v>
      </c>
      <c r="K82" s="68">
        <v>0</v>
      </c>
      <c r="L82" s="69">
        <f t="shared" si="16"/>
        <v>257.77999999999997</v>
      </c>
      <c r="M82" s="273">
        <f t="shared" si="17"/>
        <v>0</v>
      </c>
      <c r="N82" s="71">
        <f t="shared" si="18"/>
        <v>45.68</v>
      </c>
      <c r="O82" s="72">
        <f t="shared" si="19"/>
        <v>257.77999999999997</v>
      </c>
      <c r="P82" s="274">
        <f t="shared" si="20"/>
        <v>11775.390399999998</v>
      </c>
      <c r="Q82" s="237">
        <f t="shared" si="14"/>
        <v>48.56</v>
      </c>
      <c r="R82" s="121">
        <f t="shared" si="12"/>
        <v>2.2840000000000003</v>
      </c>
      <c r="S82" s="194">
        <f t="shared" si="13"/>
        <v>43.396000000000001</v>
      </c>
    </row>
    <row r="83" spans="2:19" s="121" customFormat="1" ht="16.5" customHeight="1" x14ac:dyDescent="0.2">
      <c r="B83" s="120"/>
      <c r="C83" s="56" t="s">
        <v>292</v>
      </c>
      <c r="D83" s="56" t="s">
        <v>96</v>
      </c>
      <c r="E83" s="57" t="s">
        <v>410</v>
      </c>
      <c r="F83" s="58" t="s">
        <v>411</v>
      </c>
      <c r="G83" s="59" t="s">
        <v>201</v>
      </c>
      <c r="H83" s="60">
        <v>40.17</v>
      </c>
      <c r="I83" s="61">
        <v>154.66999999999999</v>
      </c>
      <c r="J83" s="60">
        <v>6213.1</v>
      </c>
      <c r="K83" s="68">
        <f t="shared" ref="K83" si="21">ROUND(126.8/122.5*Q83-Q83,2)</f>
        <v>1.5</v>
      </c>
      <c r="L83" s="69">
        <f t="shared" si="16"/>
        <v>154.66999999999999</v>
      </c>
      <c r="M83" s="273">
        <f t="shared" si="17"/>
        <v>232.005</v>
      </c>
      <c r="N83" s="71">
        <f t="shared" si="18"/>
        <v>41.67</v>
      </c>
      <c r="O83" s="72">
        <f t="shared" si="19"/>
        <v>154.66999999999999</v>
      </c>
      <c r="P83" s="274">
        <f t="shared" si="20"/>
        <v>6445.0989</v>
      </c>
      <c r="Q83" s="237">
        <f t="shared" si="14"/>
        <v>42.7</v>
      </c>
      <c r="R83" s="121">
        <f t="shared" si="12"/>
        <v>2.0085000000000002</v>
      </c>
      <c r="S83" s="194">
        <f t="shared" si="13"/>
        <v>38.161500000000004</v>
      </c>
    </row>
    <row r="84" spans="2:19" s="170" customFormat="1" ht="22.9" customHeight="1" x14ac:dyDescent="0.2">
      <c r="B84" s="165"/>
      <c r="C84" s="252"/>
      <c r="D84" s="253" t="s">
        <v>4</v>
      </c>
      <c r="E84" s="254" t="s">
        <v>412</v>
      </c>
      <c r="F84" s="254" t="s">
        <v>413</v>
      </c>
      <c r="G84" s="252"/>
      <c r="H84" s="252"/>
      <c r="I84" s="255"/>
      <c r="J84" s="256">
        <f>+SUBTOTAL(9,J85)</f>
        <v>33156.6</v>
      </c>
      <c r="K84" s="261"/>
      <c r="L84" s="262"/>
      <c r="M84" s="279">
        <f>M85</f>
        <v>1236.8802000000001</v>
      </c>
      <c r="N84" s="280"/>
      <c r="O84" s="262"/>
      <c r="P84" s="279">
        <f>P85</f>
        <v>34393.507799999999</v>
      </c>
      <c r="Q84" s="237">
        <f t="shared" si="14"/>
        <v>0</v>
      </c>
      <c r="R84" s="121">
        <f t="shared" si="12"/>
        <v>0</v>
      </c>
      <c r="S84" s="194">
        <f t="shared" si="13"/>
        <v>0</v>
      </c>
    </row>
    <row r="85" spans="2:19" s="121" customFormat="1" ht="16.5" customHeight="1" x14ac:dyDescent="0.2">
      <c r="B85" s="120"/>
      <c r="C85" s="56" t="s">
        <v>295</v>
      </c>
      <c r="D85" s="56" t="s">
        <v>96</v>
      </c>
      <c r="E85" s="57" t="s">
        <v>415</v>
      </c>
      <c r="F85" s="58" t="s">
        <v>416</v>
      </c>
      <c r="G85" s="59" t="s">
        <v>201</v>
      </c>
      <c r="H85" s="60">
        <v>289.77999999999997</v>
      </c>
      <c r="I85" s="61">
        <v>114.42</v>
      </c>
      <c r="J85" s="60">
        <v>33156.6</v>
      </c>
      <c r="K85" s="68">
        <f t="shared" ref="K85" si="22">ROUND(126.8/122.5*Q85-Q85,2)</f>
        <v>10.81</v>
      </c>
      <c r="L85" s="69">
        <f t="shared" si="16"/>
        <v>114.42</v>
      </c>
      <c r="M85" s="273">
        <f t="shared" si="17"/>
        <v>1236.8802000000001</v>
      </c>
      <c r="N85" s="71">
        <f t="shared" si="18"/>
        <v>300.58999999999997</v>
      </c>
      <c r="O85" s="72">
        <f t="shared" si="19"/>
        <v>114.42</v>
      </c>
      <c r="P85" s="274">
        <f t="shared" si="20"/>
        <v>34393.507799999999</v>
      </c>
      <c r="Q85" s="237">
        <f t="shared" si="14"/>
        <v>308.04000000000002</v>
      </c>
      <c r="R85" s="121">
        <f t="shared" si="12"/>
        <v>14.488999999999999</v>
      </c>
      <c r="S85" s="194">
        <f t="shared" si="13"/>
        <v>275.291</v>
      </c>
    </row>
    <row r="86" spans="2:19" s="121" customFormat="1" ht="6.95" customHeight="1" x14ac:dyDescent="0.2">
      <c r="B86" s="120"/>
      <c r="C86" s="120"/>
      <c r="D86" s="120"/>
      <c r="E86" s="120"/>
      <c r="F86" s="120"/>
      <c r="G86" s="120"/>
      <c r="H86" s="120"/>
      <c r="I86" s="153"/>
      <c r="J86" s="120"/>
    </row>
    <row r="87" spans="2:19" ht="18" customHeight="1" x14ac:dyDescent="0.2">
      <c r="D87" s="42"/>
      <c r="E87" s="43" t="s">
        <v>887</v>
      </c>
      <c r="F87" s="44"/>
      <c r="G87" s="44"/>
      <c r="H87" s="45"/>
      <c r="I87" s="44"/>
      <c r="J87" s="46">
        <f>J12</f>
        <v>1138692.1999999997</v>
      </c>
      <c r="K87" s="49"/>
      <c r="L87" s="46"/>
      <c r="M87" s="281">
        <f>M84+M80+M77+M56+M50+M42+M39+M14</f>
        <v>28024.405599999998</v>
      </c>
      <c r="N87" s="49"/>
      <c r="O87" s="46"/>
      <c r="P87" s="281">
        <f>P84+P80+P77+P56+P50+P42+P39+P14</f>
        <v>1166716.4717999999</v>
      </c>
      <c r="Q87" s="281"/>
    </row>
    <row r="88" spans="2:19" ht="12.75" x14ac:dyDescent="0.2">
      <c r="H88" s="50"/>
      <c r="I88" s="8"/>
      <c r="J88" s="9"/>
    </row>
    <row r="89" spans="2:19" ht="14.25" x14ac:dyDescent="0.2">
      <c r="E89" s="6" t="s">
        <v>849</v>
      </c>
      <c r="F89" s="6"/>
      <c r="G89" s="320" t="s">
        <v>1224</v>
      </c>
      <c r="H89" s="50"/>
      <c r="I89" s="8"/>
      <c r="J89" s="6"/>
      <c r="K89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D9:H10" name="Oblast1_2_1"/>
  </protectedRanges>
  <autoFilter ref="C10:P85" xr:uid="{00000000-0009-0000-0000-00000C000000}"/>
  <mergeCells count="2">
    <mergeCell ref="K9:M9"/>
    <mergeCell ref="N9:P9"/>
  </mergeCells>
  <conditionalFormatting sqref="D3:E8 H3:J8 R9:HJ10 D1:J2 D11:HJ11 K1:HJ8 K12:O14 K15:L85">
    <cfRule type="cellIs" dxfId="514" priority="95" operator="lessThan">
      <formula>0</formula>
    </cfRule>
  </conditionalFormatting>
  <conditionalFormatting sqref="G4">
    <cfRule type="cellIs" dxfId="513" priority="94" operator="lessThan">
      <formula>0</formula>
    </cfRule>
  </conditionalFormatting>
  <conditionalFormatting sqref="G3">
    <cfRule type="cellIs" dxfId="512" priority="93" operator="lessThan">
      <formula>0</formula>
    </cfRule>
  </conditionalFormatting>
  <conditionalFormatting sqref="K12:O14 K15:L85">
    <cfRule type="cellIs" dxfId="511" priority="40" operator="lessThan">
      <formula>0</formula>
    </cfRule>
  </conditionalFormatting>
  <conditionalFormatting sqref="E87:K88 D87:D89 H89:I89 L87:HT89">
    <cfRule type="cellIs" dxfId="510" priority="29" operator="lessThan">
      <formula>0</formula>
    </cfRule>
  </conditionalFormatting>
  <conditionalFormatting sqref="H89:I89 L89:M89">
    <cfRule type="cellIs" dxfId="509" priority="28" operator="lessThan">
      <formula>0</formula>
    </cfRule>
  </conditionalFormatting>
  <conditionalFormatting sqref="H89:I89">
    <cfRule type="cellIs" dxfId="508" priority="27" operator="lessThan">
      <formula>0</formula>
    </cfRule>
  </conditionalFormatting>
  <conditionalFormatting sqref="H89:I89">
    <cfRule type="cellIs" dxfId="507" priority="26" operator="lessThan">
      <formula>0</formula>
    </cfRule>
  </conditionalFormatting>
  <conditionalFormatting sqref="N15:O85">
    <cfRule type="cellIs" dxfId="506" priority="12" operator="lessThan">
      <formula>0</formula>
    </cfRule>
  </conditionalFormatting>
  <conditionalFormatting sqref="N15:O85">
    <cfRule type="cellIs" dxfId="505" priority="11" operator="lessThan">
      <formula>0</formula>
    </cfRule>
  </conditionalFormatting>
  <conditionalFormatting sqref="D9:J10">
    <cfRule type="cellIs" dxfId="504" priority="9" operator="lessThan">
      <formula>0</formula>
    </cfRule>
  </conditionalFormatting>
  <conditionalFormatting sqref="K9:L10 N9:O9">
    <cfRule type="cellIs" dxfId="503" priority="8" operator="lessThan">
      <formula>0</formula>
    </cfRule>
  </conditionalFormatting>
  <conditionalFormatting sqref="M10:Q10">
    <cfRule type="cellIs" dxfId="502" priority="7" operator="lessThan">
      <formula>0</formula>
    </cfRule>
  </conditionalFormatting>
  <conditionalFormatting sqref="P14">
    <cfRule type="cellIs" dxfId="501" priority="6" operator="lessThan">
      <formula>0</formula>
    </cfRule>
  </conditionalFormatting>
  <conditionalFormatting sqref="P14">
    <cfRule type="cellIs" dxfId="500" priority="5" operator="lessThan">
      <formula>0</formula>
    </cfRule>
  </conditionalFormatting>
  <conditionalFormatting sqref="G89">
    <cfRule type="cellIs" dxfId="499" priority="4" operator="lessThan">
      <formula>0</formula>
    </cfRule>
  </conditionalFormatting>
  <conditionalFormatting sqref="G89">
    <cfRule type="cellIs" dxfId="498" priority="3" operator="lessThan">
      <formula>0</formula>
    </cfRule>
  </conditionalFormatting>
  <conditionalFormatting sqref="G89">
    <cfRule type="cellIs" dxfId="497" priority="2" operator="lessThan">
      <formula>0</formula>
    </cfRule>
  </conditionalFormatting>
  <conditionalFormatting sqref="G89">
    <cfRule type="cellIs" dxfId="496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2" fitToHeight="0" orientation="landscape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1:S84"/>
  <sheetViews>
    <sheetView showGridLines="0" view="pageBreakPreview" zoomScale="60" zoomScaleNormal="85" workbookViewId="0">
      <selection activeCell="I30" sqref="I30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9.5" style="8" bestFit="1" customWidth="1"/>
    <col min="12" max="12" width="17.83203125" style="8" customWidth="1"/>
    <col min="13" max="13" width="18.5" style="8" bestFit="1" customWidth="1"/>
    <col min="14" max="14" width="9.5" style="8" bestFit="1" customWidth="1"/>
    <col min="15" max="15" width="16.83203125" style="8" bestFit="1" customWidth="1"/>
    <col min="16" max="16" width="21.1640625" style="8" bestFit="1" customWidth="1"/>
    <col min="17" max="17" width="22" style="8" hidden="1" customWidth="1"/>
    <col min="18" max="18" width="0" style="8" hidden="1" customWidth="1"/>
    <col min="19" max="19" width="19.83203125" style="8" customWidth="1"/>
    <col min="20" max="16384" width="9.33203125" style="8"/>
  </cols>
  <sheetData>
    <row r="1" spans="2:19" ht="18.95" customHeight="1" x14ac:dyDescent="0.2">
      <c r="F1" s="11"/>
      <c r="G1" s="89"/>
      <c r="H1" s="88"/>
      <c r="I1" s="8"/>
      <c r="J1" s="9"/>
    </row>
    <row r="2" spans="2:19" s="88" customFormat="1" ht="18" customHeight="1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19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19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19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19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19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19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B1.1 - Stoka B1.1</v>
      </c>
      <c r="M8" s="150"/>
      <c r="O8" s="151"/>
    </row>
    <row r="9" spans="2:19" s="15" customFormat="1" ht="20.100000000000001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</row>
    <row r="10" spans="2:19" s="15" customFormat="1" ht="24" customHeight="1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189" t="s">
        <v>1176</v>
      </c>
    </row>
    <row r="11" spans="2:19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19" s="121" customFormat="1" ht="22.9" customHeight="1" x14ac:dyDescent="0.25">
      <c r="B12" s="120"/>
      <c r="C12" s="152" t="s">
        <v>474</v>
      </c>
      <c r="D12" s="120"/>
      <c r="E12" s="120"/>
      <c r="F12" s="120"/>
      <c r="G12" s="120"/>
      <c r="H12" s="120"/>
      <c r="I12" s="153"/>
      <c r="J12" s="154">
        <f>+SUBTOTAL(9,J13:J80)</f>
        <v>499289.10000000003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19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+SUBTOTAL(9,J14:J80)</f>
        <v>499289.10000000003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  <c r="Q13" s="345" t="s">
        <v>1185</v>
      </c>
      <c r="R13" s="333" t="s">
        <v>1190</v>
      </c>
    </row>
    <row r="14" spans="2:19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+SUBTOTAL(9,J15:J35)</f>
        <v>189744.50000000003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SUM(M15:M35)</f>
        <v>16278.712</v>
      </c>
      <c r="N14" s="278" t="str">
        <f>IF(ISBLANK(H14),"",H14-K14)</f>
        <v/>
      </c>
      <c r="O14" s="272" t="str">
        <f>IF(ISBLANK(H14),"",J14-L14)</f>
        <v/>
      </c>
      <c r="P14" s="272">
        <f>SUM(P15:P35)</f>
        <v>206023.08760000003</v>
      </c>
      <c r="Q14" s="345"/>
      <c r="R14" s="333"/>
      <c r="S14" s="218" t="s">
        <v>1216</v>
      </c>
    </row>
    <row r="15" spans="2:19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51.12</v>
      </c>
      <c r="I15" s="61">
        <v>40.770000000000003</v>
      </c>
      <c r="J15" s="60">
        <v>2084.1999999999998</v>
      </c>
      <c r="K15" s="68">
        <f>ROUND(50.5/46.5*S15-S15,2)</f>
        <v>4.6399999999999997</v>
      </c>
      <c r="L15" s="69">
        <f>I15</f>
        <v>40.770000000000003</v>
      </c>
      <c r="M15" s="273">
        <f>K15*L15</f>
        <v>189.1728</v>
      </c>
      <c r="N15" s="71">
        <f>H15+K15</f>
        <v>55.76</v>
      </c>
      <c r="O15" s="72">
        <f>I15</f>
        <v>40.770000000000003</v>
      </c>
      <c r="P15" s="282">
        <f>N15*O15</f>
        <v>2273.3352</v>
      </c>
      <c r="R15" s="194"/>
      <c r="S15" s="237">
        <f>ROUND(46.5/44.05*H15,2)</f>
        <v>53.96</v>
      </c>
    </row>
    <row r="16" spans="2:19" s="121" customFormat="1" ht="16.5" customHeight="1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97.59</v>
      </c>
      <c r="I16" s="61">
        <v>55.24</v>
      </c>
      <c r="J16" s="60">
        <v>5390.9</v>
      </c>
      <c r="K16" s="68">
        <v>0</v>
      </c>
      <c r="L16" s="69">
        <f t="shared" ref="L16:L78" si="0">I16</f>
        <v>55.24</v>
      </c>
      <c r="M16" s="273">
        <f t="shared" ref="M16:M78" si="1">K16*L16</f>
        <v>0</v>
      </c>
      <c r="N16" s="71">
        <f t="shared" ref="N16:N78" si="2">H16+K16</f>
        <v>97.59</v>
      </c>
      <c r="O16" s="72">
        <f t="shared" ref="O16:O78" si="3">I16</f>
        <v>55.24</v>
      </c>
      <c r="P16" s="282">
        <f t="shared" ref="P16:P78" si="4">N16*O16</f>
        <v>5390.8716000000004</v>
      </c>
      <c r="S16" s="237">
        <f t="shared" ref="S16:S79" si="5">ROUND(46.5/44.05*H16,2)</f>
        <v>103.02</v>
      </c>
    </row>
    <row r="17" spans="2:19" s="121" customFormat="1" ht="16.5" customHeight="1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51.12</v>
      </c>
      <c r="I17" s="61">
        <v>98.64</v>
      </c>
      <c r="J17" s="60">
        <v>5042.5</v>
      </c>
      <c r="K17" s="68">
        <v>0</v>
      </c>
      <c r="L17" s="69">
        <f t="shared" si="0"/>
        <v>98.64</v>
      </c>
      <c r="M17" s="273">
        <f t="shared" si="1"/>
        <v>0</v>
      </c>
      <c r="N17" s="71">
        <f t="shared" si="2"/>
        <v>51.12</v>
      </c>
      <c r="O17" s="72">
        <f t="shared" si="3"/>
        <v>98.64</v>
      </c>
      <c r="P17" s="282">
        <f t="shared" si="4"/>
        <v>5042.4767999999995</v>
      </c>
      <c r="S17" s="237">
        <f t="shared" si="5"/>
        <v>53.96</v>
      </c>
    </row>
    <row r="18" spans="2:19" s="121" customFormat="1" ht="16.5" customHeight="1" x14ac:dyDescent="0.2">
      <c r="B18" s="120"/>
      <c r="C18" s="56" t="s">
        <v>105</v>
      </c>
      <c r="D18" s="56" t="s">
        <v>96</v>
      </c>
      <c r="E18" s="57" t="s">
        <v>142</v>
      </c>
      <c r="F18" s="58" t="s">
        <v>143</v>
      </c>
      <c r="G18" s="59" t="s">
        <v>133</v>
      </c>
      <c r="H18" s="60">
        <v>1.1000000000000001</v>
      </c>
      <c r="I18" s="61">
        <v>170.98</v>
      </c>
      <c r="J18" s="60">
        <v>188.1</v>
      </c>
      <c r="K18" s="68">
        <f t="shared" ref="K18:K35" si="6">ROUND(50.5/46.5*S18-S18,2)</f>
        <v>0.1</v>
      </c>
      <c r="L18" s="69">
        <f t="shared" si="0"/>
        <v>170.98</v>
      </c>
      <c r="M18" s="273">
        <f t="shared" si="1"/>
        <v>17.097999999999999</v>
      </c>
      <c r="N18" s="71">
        <f t="shared" si="2"/>
        <v>1.2000000000000002</v>
      </c>
      <c r="O18" s="72">
        <f t="shared" si="3"/>
        <v>170.98</v>
      </c>
      <c r="P18" s="282">
        <f t="shared" si="4"/>
        <v>205.17600000000002</v>
      </c>
      <c r="R18" s="194"/>
      <c r="S18" s="237">
        <f t="shared" si="5"/>
        <v>1.1599999999999999</v>
      </c>
    </row>
    <row r="19" spans="2:19" s="121" customFormat="1" ht="16.5" customHeight="1" x14ac:dyDescent="0.2">
      <c r="B19" s="120"/>
      <c r="C19" s="56" t="s">
        <v>109</v>
      </c>
      <c r="D19" s="56" t="s">
        <v>96</v>
      </c>
      <c r="E19" s="57" t="s">
        <v>145</v>
      </c>
      <c r="F19" s="58" t="s">
        <v>146</v>
      </c>
      <c r="G19" s="59" t="s">
        <v>133</v>
      </c>
      <c r="H19" s="60">
        <v>3.3</v>
      </c>
      <c r="I19" s="61">
        <v>147.30000000000001</v>
      </c>
      <c r="J19" s="60">
        <v>486.1</v>
      </c>
      <c r="K19" s="68">
        <f t="shared" si="6"/>
        <v>0.3</v>
      </c>
      <c r="L19" s="69">
        <f t="shared" si="0"/>
        <v>147.30000000000001</v>
      </c>
      <c r="M19" s="273">
        <f t="shared" si="1"/>
        <v>44.190000000000005</v>
      </c>
      <c r="N19" s="71">
        <f t="shared" si="2"/>
        <v>3.5999999999999996</v>
      </c>
      <c r="O19" s="72">
        <f t="shared" si="3"/>
        <v>147.30000000000001</v>
      </c>
      <c r="P19" s="282">
        <f t="shared" si="4"/>
        <v>530.28</v>
      </c>
      <c r="R19" s="194"/>
      <c r="S19" s="237">
        <f t="shared" si="5"/>
        <v>3.48</v>
      </c>
    </row>
    <row r="20" spans="2:19" s="121" customFormat="1" ht="16.5" customHeight="1" x14ac:dyDescent="0.2">
      <c r="B20" s="120"/>
      <c r="C20" s="56" t="s">
        <v>112</v>
      </c>
      <c r="D20" s="56" t="s">
        <v>96</v>
      </c>
      <c r="E20" s="57" t="s">
        <v>155</v>
      </c>
      <c r="F20" s="58" t="s">
        <v>156</v>
      </c>
      <c r="G20" s="59" t="s">
        <v>150</v>
      </c>
      <c r="H20" s="60">
        <v>14.61</v>
      </c>
      <c r="I20" s="61">
        <v>257.77999999999997</v>
      </c>
      <c r="J20" s="60">
        <v>3766.2</v>
      </c>
      <c r="K20" s="68">
        <f t="shared" si="6"/>
        <v>1.33</v>
      </c>
      <c r="L20" s="69">
        <f t="shared" si="0"/>
        <v>257.77999999999997</v>
      </c>
      <c r="M20" s="273">
        <f t="shared" si="1"/>
        <v>342.84739999999999</v>
      </c>
      <c r="N20" s="71">
        <f t="shared" si="2"/>
        <v>15.94</v>
      </c>
      <c r="O20" s="72">
        <f t="shared" si="3"/>
        <v>257.77999999999997</v>
      </c>
      <c r="P20" s="282">
        <f t="shared" si="4"/>
        <v>4109.0131999999994</v>
      </c>
      <c r="R20" s="194"/>
      <c r="S20" s="237">
        <f t="shared" si="5"/>
        <v>15.42</v>
      </c>
    </row>
    <row r="21" spans="2:19" s="121" customFormat="1" ht="16.5" customHeight="1" x14ac:dyDescent="0.2">
      <c r="B21" s="120"/>
      <c r="C21" s="56" t="s">
        <v>115</v>
      </c>
      <c r="D21" s="56" t="s">
        <v>96</v>
      </c>
      <c r="E21" s="57" t="s">
        <v>157</v>
      </c>
      <c r="F21" s="58" t="s">
        <v>158</v>
      </c>
      <c r="G21" s="59" t="s">
        <v>150</v>
      </c>
      <c r="H21" s="60">
        <v>73.989999999999995</v>
      </c>
      <c r="I21" s="61">
        <v>257.77999999999997</v>
      </c>
      <c r="J21" s="60">
        <v>19073.099999999999</v>
      </c>
      <c r="K21" s="68">
        <f t="shared" si="6"/>
        <v>6.72</v>
      </c>
      <c r="L21" s="69">
        <f t="shared" si="0"/>
        <v>257.77999999999997</v>
      </c>
      <c r="M21" s="273">
        <f t="shared" si="1"/>
        <v>1732.2815999999998</v>
      </c>
      <c r="N21" s="71">
        <f t="shared" si="2"/>
        <v>80.709999999999994</v>
      </c>
      <c r="O21" s="72">
        <f t="shared" si="3"/>
        <v>257.77999999999997</v>
      </c>
      <c r="P21" s="282">
        <f t="shared" si="4"/>
        <v>20805.423799999997</v>
      </c>
      <c r="R21" s="194"/>
      <c r="S21" s="237">
        <f t="shared" si="5"/>
        <v>78.11</v>
      </c>
    </row>
    <row r="22" spans="2:19" s="121" customFormat="1" ht="16.5" customHeight="1" x14ac:dyDescent="0.2">
      <c r="B22" s="120"/>
      <c r="C22" s="56" t="s">
        <v>118</v>
      </c>
      <c r="D22" s="56" t="s">
        <v>96</v>
      </c>
      <c r="E22" s="57" t="s">
        <v>160</v>
      </c>
      <c r="F22" s="58" t="s">
        <v>161</v>
      </c>
      <c r="G22" s="59" t="s">
        <v>150</v>
      </c>
      <c r="H22" s="60">
        <v>22.2</v>
      </c>
      <c r="I22" s="61">
        <v>13.15</v>
      </c>
      <c r="J22" s="60">
        <v>291.89999999999998</v>
      </c>
      <c r="K22" s="68">
        <f t="shared" si="6"/>
        <v>2.02</v>
      </c>
      <c r="L22" s="69">
        <f t="shared" si="0"/>
        <v>13.15</v>
      </c>
      <c r="M22" s="273">
        <f t="shared" si="1"/>
        <v>26.563000000000002</v>
      </c>
      <c r="N22" s="71">
        <f t="shared" si="2"/>
        <v>24.22</v>
      </c>
      <c r="O22" s="72">
        <f t="shared" si="3"/>
        <v>13.15</v>
      </c>
      <c r="P22" s="282">
        <f t="shared" si="4"/>
        <v>318.49299999999999</v>
      </c>
      <c r="R22" s="194"/>
      <c r="S22" s="237">
        <f t="shared" si="5"/>
        <v>23.43</v>
      </c>
    </row>
    <row r="23" spans="2:19" s="121" customFormat="1" ht="16.5" customHeight="1" x14ac:dyDescent="0.2">
      <c r="B23" s="120"/>
      <c r="C23" s="56" t="s">
        <v>121</v>
      </c>
      <c r="D23" s="56" t="s">
        <v>96</v>
      </c>
      <c r="E23" s="57" t="s">
        <v>163</v>
      </c>
      <c r="F23" s="58" t="s">
        <v>164</v>
      </c>
      <c r="G23" s="59" t="s">
        <v>150</v>
      </c>
      <c r="H23" s="60">
        <v>41.53</v>
      </c>
      <c r="I23" s="61">
        <v>315.64999999999998</v>
      </c>
      <c r="J23" s="60">
        <v>13108.9</v>
      </c>
      <c r="K23" s="68">
        <f t="shared" si="6"/>
        <v>3.77</v>
      </c>
      <c r="L23" s="69">
        <f t="shared" si="0"/>
        <v>315.64999999999998</v>
      </c>
      <c r="M23" s="273">
        <f t="shared" si="1"/>
        <v>1190.0004999999999</v>
      </c>
      <c r="N23" s="71">
        <f t="shared" si="2"/>
        <v>45.300000000000004</v>
      </c>
      <c r="O23" s="72">
        <f t="shared" si="3"/>
        <v>315.64999999999998</v>
      </c>
      <c r="P23" s="282">
        <f t="shared" si="4"/>
        <v>14298.945</v>
      </c>
      <c r="R23" s="194"/>
      <c r="S23" s="237">
        <f t="shared" si="5"/>
        <v>43.84</v>
      </c>
    </row>
    <row r="24" spans="2:19" s="121" customFormat="1" ht="16.5" customHeight="1" x14ac:dyDescent="0.2">
      <c r="B24" s="120"/>
      <c r="C24" s="56" t="s">
        <v>124</v>
      </c>
      <c r="D24" s="56" t="s">
        <v>96</v>
      </c>
      <c r="E24" s="57" t="s">
        <v>166</v>
      </c>
      <c r="F24" s="58" t="s">
        <v>167</v>
      </c>
      <c r="G24" s="59" t="s">
        <v>150</v>
      </c>
      <c r="H24" s="60">
        <v>12.46</v>
      </c>
      <c r="I24" s="61">
        <v>15.78</v>
      </c>
      <c r="J24" s="60">
        <v>196.6</v>
      </c>
      <c r="K24" s="68">
        <f t="shared" si="6"/>
        <v>1.1299999999999999</v>
      </c>
      <c r="L24" s="69">
        <f t="shared" si="0"/>
        <v>15.78</v>
      </c>
      <c r="M24" s="273">
        <f t="shared" si="1"/>
        <v>17.831399999999999</v>
      </c>
      <c r="N24" s="71">
        <f t="shared" si="2"/>
        <v>13.59</v>
      </c>
      <c r="O24" s="72">
        <f t="shared" si="3"/>
        <v>15.78</v>
      </c>
      <c r="P24" s="282">
        <f t="shared" si="4"/>
        <v>214.4502</v>
      </c>
      <c r="R24" s="194"/>
      <c r="S24" s="237">
        <f t="shared" si="5"/>
        <v>13.15</v>
      </c>
    </row>
    <row r="25" spans="2:19" s="121" customFormat="1" ht="16.5" customHeight="1" x14ac:dyDescent="0.2">
      <c r="B25" s="120"/>
      <c r="C25" s="56" t="s">
        <v>127</v>
      </c>
      <c r="D25" s="56" t="s">
        <v>96</v>
      </c>
      <c r="E25" s="57" t="s">
        <v>172</v>
      </c>
      <c r="F25" s="58" t="s">
        <v>173</v>
      </c>
      <c r="G25" s="59" t="s">
        <v>150</v>
      </c>
      <c r="H25" s="60">
        <v>8.83</v>
      </c>
      <c r="I25" s="61">
        <v>1116.6199999999999</v>
      </c>
      <c r="J25" s="60">
        <v>9859.7999999999993</v>
      </c>
      <c r="K25" s="68">
        <f t="shared" si="6"/>
        <v>0.8</v>
      </c>
      <c r="L25" s="69">
        <f t="shared" si="0"/>
        <v>1116.6199999999999</v>
      </c>
      <c r="M25" s="273">
        <f t="shared" si="1"/>
        <v>893.29599999999994</v>
      </c>
      <c r="N25" s="71">
        <f t="shared" si="2"/>
        <v>9.6300000000000008</v>
      </c>
      <c r="O25" s="72">
        <f t="shared" si="3"/>
        <v>1116.6199999999999</v>
      </c>
      <c r="P25" s="282">
        <f t="shared" si="4"/>
        <v>10753.0506</v>
      </c>
      <c r="R25" s="194"/>
      <c r="S25" s="237">
        <f t="shared" si="5"/>
        <v>9.32</v>
      </c>
    </row>
    <row r="26" spans="2:19" s="121" customFormat="1" ht="16.5" customHeight="1" x14ac:dyDescent="0.2">
      <c r="B26" s="120"/>
      <c r="C26" s="56" t="s">
        <v>130</v>
      </c>
      <c r="D26" s="56" t="s">
        <v>96</v>
      </c>
      <c r="E26" s="57" t="s">
        <v>175</v>
      </c>
      <c r="F26" s="58" t="s">
        <v>176</v>
      </c>
      <c r="G26" s="59" t="s">
        <v>108</v>
      </c>
      <c r="H26" s="60">
        <v>231.92</v>
      </c>
      <c r="I26" s="61">
        <v>99.96</v>
      </c>
      <c r="J26" s="60">
        <v>23182.7</v>
      </c>
      <c r="K26" s="68">
        <f t="shared" si="6"/>
        <v>21.06</v>
      </c>
      <c r="L26" s="69">
        <f t="shared" si="0"/>
        <v>99.96</v>
      </c>
      <c r="M26" s="273">
        <f t="shared" si="1"/>
        <v>2105.1575999999995</v>
      </c>
      <c r="N26" s="71">
        <f t="shared" si="2"/>
        <v>252.98</v>
      </c>
      <c r="O26" s="72">
        <f t="shared" si="3"/>
        <v>99.96</v>
      </c>
      <c r="P26" s="282">
        <f t="shared" si="4"/>
        <v>25287.880799999999</v>
      </c>
      <c r="R26" s="194"/>
      <c r="S26" s="237">
        <f t="shared" si="5"/>
        <v>244.82</v>
      </c>
    </row>
    <row r="27" spans="2:19" s="121" customFormat="1" ht="16.5" customHeight="1" x14ac:dyDescent="0.2">
      <c r="B27" s="120"/>
      <c r="C27" s="56" t="s">
        <v>134</v>
      </c>
      <c r="D27" s="56" t="s">
        <v>96</v>
      </c>
      <c r="E27" s="57" t="s">
        <v>181</v>
      </c>
      <c r="F27" s="58" t="s">
        <v>182</v>
      </c>
      <c r="G27" s="59" t="s">
        <v>108</v>
      </c>
      <c r="H27" s="60">
        <v>231.92</v>
      </c>
      <c r="I27" s="61">
        <v>149.94</v>
      </c>
      <c r="J27" s="60">
        <v>34774.1</v>
      </c>
      <c r="K27" s="68">
        <f t="shared" si="6"/>
        <v>21.06</v>
      </c>
      <c r="L27" s="69">
        <f t="shared" si="0"/>
        <v>149.94</v>
      </c>
      <c r="M27" s="273">
        <f t="shared" si="1"/>
        <v>3157.7363999999998</v>
      </c>
      <c r="N27" s="71">
        <f t="shared" si="2"/>
        <v>252.98</v>
      </c>
      <c r="O27" s="72">
        <f t="shared" si="3"/>
        <v>149.94</v>
      </c>
      <c r="P27" s="282">
        <f t="shared" si="4"/>
        <v>37931.821199999998</v>
      </c>
      <c r="R27" s="194"/>
      <c r="S27" s="237">
        <f t="shared" si="5"/>
        <v>244.82</v>
      </c>
    </row>
    <row r="28" spans="2:19" s="121" customFormat="1" ht="16.5" customHeight="1" x14ac:dyDescent="0.2">
      <c r="B28" s="120"/>
      <c r="C28" s="56" t="s">
        <v>2</v>
      </c>
      <c r="D28" s="56" t="s">
        <v>96</v>
      </c>
      <c r="E28" s="57" t="s">
        <v>187</v>
      </c>
      <c r="F28" s="58" t="s">
        <v>188</v>
      </c>
      <c r="G28" s="59" t="s">
        <v>150</v>
      </c>
      <c r="H28" s="60">
        <v>206.18</v>
      </c>
      <c r="I28" s="61">
        <v>97.97</v>
      </c>
      <c r="J28" s="60">
        <v>20199.5</v>
      </c>
      <c r="K28" s="68">
        <f t="shared" si="6"/>
        <v>18.72</v>
      </c>
      <c r="L28" s="69">
        <f t="shared" si="0"/>
        <v>97.97</v>
      </c>
      <c r="M28" s="273">
        <f t="shared" si="1"/>
        <v>1833.9983999999999</v>
      </c>
      <c r="N28" s="71">
        <f t="shared" si="2"/>
        <v>224.9</v>
      </c>
      <c r="O28" s="72">
        <f t="shared" si="3"/>
        <v>97.97</v>
      </c>
      <c r="P28" s="282">
        <f t="shared" si="4"/>
        <v>22033.453000000001</v>
      </c>
      <c r="R28" s="194"/>
      <c r="S28" s="237">
        <f t="shared" si="5"/>
        <v>217.65</v>
      </c>
    </row>
    <row r="29" spans="2:19" s="121" customFormat="1" ht="16.5" customHeight="1" x14ac:dyDescent="0.2">
      <c r="B29" s="120"/>
      <c r="C29" s="56" t="s">
        <v>141</v>
      </c>
      <c r="D29" s="56" t="s">
        <v>96</v>
      </c>
      <c r="E29" s="57" t="s">
        <v>190</v>
      </c>
      <c r="F29" s="58" t="s">
        <v>191</v>
      </c>
      <c r="G29" s="59" t="s">
        <v>150</v>
      </c>
      <c r="H29" s="60">
        <v>42.53</v>
      </c>
      <c r="I29" s="61">
        <v>247.39</v>
      </c>
      <c r="J29" s="60">
        <v>10521.5</v>
      </c>
      <c r="K29" s="68">
        <f t="shared" si="6"/>
        <v>3.86</v>
      </c>
      <c r="L29" s="69">
        <f t="shared" si="0"/>
        <v>247.39</v>
      </c>
      <c r="M29" s="273">
        <f t="shared" si="1"/>
        <v>954.92539999999997</v>
      </c>
      <c r="N29" s="71">
        <f t="shared" si="2"/>
        <v>46.39</v>
      </c>
      <c r="O29" s="72">
        <f t="shared" si="3"/>
        <v>247.39</v>
      </c>
      <c r="P29" s="282">
        <f t="shared" si="4"/>
        <v>11476.4221</v>
      </c>
      <c r="S29" s="237">
        <f t="shared" si="5"/>
        <v>44.9</v>
      </c>
    </row>
    <row r="30" spans="2:19" s="121" customFormat="1" ht="16.5" customHeight="1" x14ac:dyDescent="0.2">
      <c r="B30" s="120"/>
      <c r="C30" s="56" t="s">
        <v>144</v>
      </c>
      <c r="D30" s="56" t="s">
        <v>96</v>
      </c>
      <c r="E30" s="57" t="s">
        <v>193</v>
      </c>
      <c r="F30" s="58" t="s">
        <v>194</v>
      </c>
      <c r="G30" s="59" t="s">
        <v>150</v>
      </c>
      <c r="H30" s="60">
        <v>42.53</v>
      </c>
      <c r="I30" s="61">
        <v>44.72</v>
      </c>
      <c r="J30" s="60">
        <v>1901.9</v>
      </c>
      <c r="K30" s="68">
        <f t="shared" si="6"/>
        <v>3.86</v>
      </c>
      <c r="L30" s="69">
        <f t="shared" si="0"/>
        <v>44.72</v>
      </c>
      <c r="M30" s="273">
        <f t="shared" si="1"/>
        <v>172.61919999999998</v>
      </c>
      <c r="N30" s="71">
        <f t="shared" si="2"/>
        <v>46.39</v>
      </c>
      <c r="O30" s="72">
        <f t="shared" si="3"/>
        <v>44.72</v>
      </c>
      <c r="P30" s="282">
        <f t="shared" si="4"/>
        <v>2074.5608000000002</v>
      </c>
      <c r="S30" s="237">
        <f t="shared" si="5"/>
        <v>44.9</v>
      </c>
    </row>
    <row r="31" spans="2:19" s="121" customFormat="1" ht="16.5" customHeight="1" x14ac:dyDescent="0.2">
      <c r="B31" s="120"/>
      <c r="C31" s="56" t="s">
        <v>147</v>
      </c>
      <c r="D31" s="56" t="s">
        <v>96</v>
      </c>
      <c r="E31" s="57" t="s">
        <v>196</v>
      </c>
      <c r="F31" s="58" t="s">
        <v>197</v>
      </c>
      <c r="G31" s="59" t="s">
        <v>150</v>
      </c>
      <c r="H31" s="60">
        <v>42.53</v>
      </c>
      <c r="I31" s="61">
        <v>11.84</v>
      </c>
      <c r="J31" s="60">
        <v>503.6</v>
      </c>
      <c r="K31" s="68">
        <f t="shared" si="6"/>
        <v>3.86</v>
      </c>
      <c r="L31" s="69">
        <f t="shared" si="0"/>
        <v>11.84</v>
      </c>
      <c r="M31" s="273">
        <f t="shared" si="1"/>
        <v>45.702399999999997</v>
      </c>
      <c r="N31" s="71">
        <f t="shared" si="2"/>
        <v>46.39</v>
      </c>
      <c r="O31" s="72">
        <f t="shared" si="3"/>
        <v>11.84</v>
      </c>
      <c r="P31" s="282">
        <f t="shared" si="4"/>
        <v>549.25760000000002</v>
      </c>
      <c r="S31" s="237">
        <f t="shared" si="5"/>
        <v>44.9</v>
      </c>
    </row>
    <row r="32" spans="2:19" s="121" customFormat="1" ht="16.5" customHeight="1" x14ac:dyDescent="0.2">
      <c r="B32" s="120"/>
      <c r="C32" s="56" t="s">
        <v>151</v>
      </c>
      <c r="D32" s="56" t="s">
        <v>96</v>
      </c>
      <c r="E32" s="57" t="s">
        <v>199</v>
      </c>
      <c r="F32" s="58" t="s">
        <v>200</v>
      </c>
      <c r="G32" s="59" t="s">
        <v>201</v>
      </c>
      <c r="H32" s="60">
        <v>85.06</v>
      </c>
      <c r="I32" s="61">
        <v>116</v>
      </c>
      <c r="J32" s="60">
        <v>9867</v>
      </c>
      <c r="K32" s="68">
        <f t="shared" si="6"/>
        <v>7.72</v>
      </c>
      <c r="L32" s="69">
        <f t="shared" si="0"/>
        <v>116</v>
      </c>
      <c r="M32" s="273">
        <f t="shared" si="1"/>
        <v>895.52</v>
      </c>
      <c r="N32" s="71">
        <f t="shared" si="2"/>
        <v>92.78</v>
      </c>
      <c r="O32" s="72">
        <f t="shared" si="3"/>
        <v>116</v>
      </c>
      <c r="P32" s="282">
        <f t="shared" si="4"/>
        <v>10762.48</v>
      </c>
      <c r="S32" s="237">
        <f t="shared" si="5"/>
        <v>89.79</v>
      </c>
    </row>
    <row r="33" spans="2:19" s="121" customFormat="1" ht="16.5" customHeight="1" x14ac:dyDescent="0.2">
      <c r="B33" s="120"/>
      <c r="C33" s="56" t="s">
        <v>154</v>
      </c>
      <c r="D33" s="56" t="s">
        <v>96</v>
      </c>
      <c r="E33" s="57" t="s">
        <v>203</v>
      </c>
      <c r="F33" s="58" t="s">
        <v>204</v>
      </c>
      <c r="G33" s="59" t="s">
        <v>150</v>
      </c>
      <c r="H33" s="60">
        <v>81.83</v>
      </c>
      <c r="I33" s="61">
        <v>143.36000000000001</v>
      </c>
      <c r="J33" s="60">
        <v>11731.1</v>
      </c>
      <c r="K33" s="68">
        <f t="shared" si="6"/>
        <v>7.43</v>
      </c>
      <c r="L33" s="69">
        <f t="shared" si="0"/>
        <v>143.36000000000001</v>
      </c>
      <c r="M33" s="273">
        <f t="shared" si="1"/>
        <v>1065.1648</v>
      </c>
      <c r="N33" s="71">
        <f t="shared" si="2"/>
        <v>89.259999999999991</v>
      </c>
      <c r="O33" s="72">
        <f t="shared" si="3"/>
        <v>143.36000000000001</v>
      </c>
      <c r="P33" s="282">
        <f t="shared" si="4"/>
        <v>12796.313599999999</v>
      </c>
      <c r="R33" s="194"/>
      <c r="S33" s="237">
        <f t="shared" si="5"/>
        <v>86.38</v>
      </c>
    </row>
    <row r="34" spans="2:19" s="121" customFormat="1" ht="16.5" customHeight="1" x14ac:dyDescent="0.2">
      <c r="B34" s="120"/>
      <c r="C34" s="56" t="s">
        <v>1</v>
      </c>
      <c r="D34" s="56" t="s">
        <v>96</v>
      </c>
      <c r="E34" s="57" t="s">
        <v>206</v>
      </c>
      <c r="F34" s="58" t="s">
        <v>207</v>
      </c>
      <c r="G34" s="59" t="s">
        <v>150</v>
      </c>
      <c r="H34" s="60">
        <v>26.48</v>
      </c>
      <c r="I34" s="61">
        <v>318.27999999999997</v>
      </c>
      <c r="J34" s="60">
        <v>8428.1</v>
      </c>
      <c r="K34" s="68">
        <f t="shared" si="6"/>
        <v>2.4</v>
      </c>
      <c r="L34" s="69">
        <f t="shared" si="0"/>
        <v>318.27999999999997</v>
      </c>
      <c r="M34" s="273">
        <f t="shared" si="1"/>
        <v>763.87199999999996</v>
      </c>
      <c r="N34" s="71">
        <f t="shared" si="2"/>
        <v>28.88</v>
      </c>
      <c r="O34" s="72">
        <f t="shared" si="3"/>
        <v>318.27999999999997</v>
      </c>
      <c r="P34" s="282">
        <f t="shared" si="4"/>
        <v>9191.9263999999985</v>
      </c>
      <c r="R34" s="194"/>
      <c r="S34" s="237">
        <f t="shared" si="5"/>
        <v>27.95</v>
      </c>
    </row>
    <row r="35" spans="2:19" s="121" customFormat="1" ht="16.5" customHeight="1" x14ac:dyDescent="0.2">
      <c r="B35" s="120"/>
      <c r="C35" s="73" t="s">
        <v>159</v>
      </c>
      <c r="D35" s="73" t="s">
        <v>209</v>
      </c>
      <c r="E35" s="74" t="s">
        <v>210</v>
      </c>
      <c r="F35" s="75" t="s">
        <v>211</v>
      </c>
      <c r="G35" s="76" t="s">
        <v>201</v>
      </c>
      <c r="H35" s="77">
        <v>52.96</v>
      </c>
      <c r="I35" s="78">
        <v>172.71</v>
      </c>
      <c r="J35" s="77">
        <v>9146.7000000000007</v>
      </c>
      <c r="K35" s="68">
        <f t="shared" si="6"/>
        <v>4.8099999999999996</v>
      </c>
      <c r="L35" s="69">
        <f t="shared" si="0"/>
        <v>172.71</v>
      </c>
      <c r="M35" s="273">
        <f t="shared" si="1"/>
        <v>830.73509999999999</v>
      </c>
      <c r="N35" s="71">
        <f t="shared" si="2"/>
        <v>57.77</v>
      </c>
      <c r="O35" s="72">
        <f t="shared" si="3"/>
        <v>172.71</v>
      </c>
      <c r="P35" s="282">
        <f t="shared" si="4"/>
        <v>9977.4567000000006</v>
      </c>
      <c r="R35" s="194"/>
      <c r="S35" s="237">
        <f t="shared" si="5"/>
        <v>55.91</v>
      </c>
    </row>
    <row r="36" spans="2:19" s="170" customFormat="1" ht="22.9" customHeight="1" x14ac:dyDescent="0.2">
      <c r="B36" s="165"/>
      <c r="C36" s="252"/>
      <c r="D36" s="253" t="s">
        <v>4</v>
      </c>
      <c r="E36" s="254" t="s">
        <v>13</v>
      </c>
      <c r="F36" s="254" t="s">
        <v>222</v>
      </c>
      <c r="G36" s="252"/>
      <c r="H36" s="252"/>
      <c r="I36" s="255"/>
      <c r="J36" s="256">
        <f>+SUBTOTAL(9,J37:J38)</f>
        <v>1738.2</v>
      </c>
      <c r="K36" s="261"/>
      <c r="L36" s="262"/>
      <c r="M36" s="279">
        <f>SUM(M37:M38)</f>
        <v>157.84</v>
      </c>
      <c r="N36" s="280"/>
      <c r="O36" s="262"/>
      <c r="P36" s="279">
        <f>SUM(P37:P38)</f>
        <v>1896.0529999999999</v>
      </c>
      <c r="S36" s="237">
        <f t="shared" si="5"/>
        <v>0</v>
      </c>
    </row>
    <row r="37" spans="2:19" s="121" customFormat="1" ht="16.5" customHeight="1" x14ac:dyDescent="0.2">
      <c r="B37" s="120"/>
      <c r="C37" s="56" t="s">
        <v>162</v>
      </c>
      <c r="D37" s="56" t="s">
        <v>96</v>
      </c>
      <c r="E37" s="57" t="s">
        <v>224</v>
      </c>
      <c r="F37" s="58" t="s">
        <v>225</v>
      </c>
      <c r="G37" s="59" t="s">
        <v>133</v>
      </c>
      <c r="H37" s="60">
        <v>44.05</v>
      </c>
      <c r="I37" s="61">
        <v>32.880000000000003</v>
      </c>
      <c r="J37" s="60">
        <v>1448.4</v>
      </c>
      <c r="K37" s="68">
        <f>50.5-S37</f>
        <v>4</v>
      </c>
      <c r="L37" s="69">
        <f t="shared" si="0"/>
        <v>32.880000000000003</v>
      </c>
      <c r="M37" s="273">
        <f t="shared" si="1"/>
        <v>131.52000000000001</v>
      </c>
      <c r="N37" s="71">
        <f t="shared" si="2"/>
        <v>48.05</v>
      </c>
      <c r="O37" s="72">
        <f t="shared" si="3"/>
        <v>32.880000000000003</v>
      </c>
      <c r="P37" s="282">
        <f t="shared" si="4"/>
        <v>1579.884</v>
      </c>
      <c r="S37" s="237">
        <f t="shared" si="5"/>
        <v>46.5</v>
      </c>
    </row>
    <row r="38" spans="2:19" s="121" customFormat="1" ht="16.5" customHeight="1" x14ac:dyDescent="0.2">
      <c r="B38" s="120"/>
      <c r="C38" s="56" t="s">
        <v>165</v>
      </c>
      <c r="D38" s="56" t="s">
        <v>96</v>
      </c>
      <c r="E38" s="57" t="s">
        <v>227</v>
      </c>
      <c r="F38" s="58" t="s">
        <v>228</v>
      </c>
      <c r="G38" s="59" t="s">
        <v>133</v>
      </c>
      <c r="H38" s="60">
        <v>44.05</v>
      </c>
      <c r="I38" s="61">
        <v>6.58</v>
      </c>
      <c r="J38" s="60">
        <v>289.8</v>
      </c>
      <c r="K38" s="68">
        <f>50.5-S38</f>
        <v>4</v>
      </c>
      <c r="L38" s="69">
        <f t="shared" si="0"/>
        <v>6.58</v>
      </c>
      <c r="M38" s="273">
        <f t="shared" si="1"/>
        <v>26.32</v>
      </c>
      <c r="N38" s="71">
        <f t="shared" si="2"/>
        <v>48.05</v>
      </c>
      <c r="O38" s="72">
        <f t="shared" si="3"/>
        <v>6.58</v>
      </c>
      <c r="P38" s="282">
        <f t="shared" si="4"/>
        <v>316.16899999999998</v>
      </c>
      <c r="S38" s="237">
        <f t="shared" si="5"/>
        <v>46.5</v>
      </c>
    </row>
    <row r="39" spans="2:19" s="170" customFormat="1" ht="22.9" customHeight="1" x14ac:dyDescent="0.2">
      <c r="B39" s="165"/>
      <c r="C39" s="252"/>
      <c r="D39" s="253" t="s">
        <v>4</v>
      </c>
      <c r="E39" s="254" t="s">
        <v>100</v>
      </c>
      <c r="F39" s="254" t="s">
        <v>229</v>
      </c>
      <c r="G39" s="252"/>
      <c r="H39" s="252"/>
      <c r="I39" s="255"/>
      <c r="J39" s="256">
        <f>+SUBTOTAL(9,J40:J43)</f>
        <v>22744.6</v>
      </c>
      <c r="K39" s="261"/>
      <c r="L39" s="262"/>
      <c r="M39" s="279">
        <f>SUM(M40:M43)</f>
        <v>2006.2379999999998</v>
      </c>
      <c r="N39" s="280"/>
      <c r="O39" s="262"/>
      <c r="P39" s="279">
        <f>SUM(P40:P43)</f>
        <v>24750.831200000001</v>
      </c>
      <c r="S39" s="237">
        <f t="shared" si="5"/>
        <v>0</v>
      </c>
    </row>
    <row r="40" spans="2:19" s="121" customFormat="1" ht="16.5" customHeight="1" x14ac:dyDescent="0.2">
      <c r="B40" s="120"/>
      <c r="C40" s="56" t="s">
        <v>168</v>
      </c>
      <c r="D40" s="56" t="s">
        <v>96</v>
      </c>
      <c r="E40" s="57" t="s">
        <v>246</v>
      </c>
      <c r="F40" s="58" t="s">
        <v>247</v>
      </c>
      <c r="G40" s="59" t="s">
        <v>99</v>
      </c>
      <c r="H40" s="60">
        <v>1</v>
      </c>
      <c r="I40" s="61">
        <v>152.57</v>
      </c>
      <c r="J40" s="60">
        <v>152.6</v>
      </c>
      <c r="K40" s="68">
        <v>0</v>
      </c>
      <c r="L40" s="69">
        <f t="shared" si="0"/>
        <v>152.57</v>
      </c>
      <c r="M40" s="273">
        <f t="shared" si="1"/>
        <v>0</v>
      </c>
      <c r="N40" s="71">
        <f t="shared" si="2"/>
        <v>1</v>
      </c>
      <c r="O40" s="72">
        <f t="shared" si="3"/>
        <v>152.57</v>
      </c>
      <c r="P40" s="282">
        <f t="shared" si="4"/>
        <v>152.57</v>
      </c>
      <c r="S40" s="237">
        <f t="shared" si="5"/>
        <v>1.06</v>
      </c>
    </row>
    <row r="41" spans="2:19" s="121" customFormat="1" ht="16.5" customHeight="1" x14ac:dyDescent="0.2">
      <c r="B41" s="120"/>
      <c r="C41" s="73" t="s">
        <v>171</v>
      </c>
      <c r="D41" s="73" t="s">
        <v>209</v>
      </c>
      <c r="E41" s="74" t="s">
        <v>249</v>
      </c>
      <c r="F41" s="75" t="s">
        <v>250</v>
      </c>
      <c r="G41" s="76" t="s">
        <v>99</v>
      </c>
      <c r="H41" s="77">
        <v>1</v>
      </c>
      <c r="I41" s="78">
        <v>395.88</v>
      </c>
      <c r="J41" s="77">
        <v>395.9</v>
      </c>
      <c r="K41" s="68">
        <v>0</v>
      </c>
      <c r="L41" s="69">
        <f t="shared" si="0"/>
        <v>395.88</v>
      </c>
      <c r="M41" s="273">
        <f t="shared" si="1"/>
        <v>0</v>
      </c>
      <c r="N41" s="71">
        <f t="shared" si="2"/>
        <v>1</v>
      </c>
      <c r="O41" s="72">
        <f t="shared" si="3"/>
        <v>395.88</v>
      </c>
      <c r="P41" s="282">
        <f t="shared" si="4"/>
        <v>395.88</v>
      </c>
      <c r="S41" s="237">
        <f t="shared" si="5"/>
        <v>1.06</v>
      </c>
    </row>
    <row r="42" spans="2:19" s="121" customFormat="1" ht="16.5" customHeight="1" x14ac:dyDescent="0.2">
      <c r="B42" s="120"/>
      <c r="C42" s="56" t="s">
        <v>174</v>
      </c>
      <c r="D42" s="56" t="s">
        <v>96</v>
      </c>
      <c r="E42" s="57" t="s">
        <v>252</v>
      </c>
      <c r="F42" s="58" t="s">
        <v>253</v>
      </c>
      <c r="G42" s="59" t="s">
        <v>150</v>
      </c>
      <c r="H42" s="60">
        <v>6.38</v>
      </c>
      <c r="I42" s="61">
        <v>3239.16</v>
      </c>
      <c r="J42" s="60">
        <v>20665.8</v>
      </c>
      <c r="K42" s="68">
        <f t="shared" ref="K42:K43" si="7">ROUND(50.5/46.5*S42-S42,2)</f>
        <v>0.57999999999999996</v>
      </c>
      <c r="L42" s="69">
        <f t="shared" si="0"/>
        <v>3239.16</v>
      </c>
      <c r="M42" s="273">
        <f t="shared" si="1"/>
        <v>1878.7127999999998</v>
      </c>
      <c r="N42" s="71">
        <f t="shared" si="2"/>
        <v>6.96</v>
      </c>
      <c r="O42" s="72">
        <f t="shared" si="3"/>
        <v>3239.16</v>
      </c>
      <c r="P42" s="282">
        <f t="shared" si="4"/>
        <v>22544.553599999999</v>
      </c>
      <c r="R42" s="194"/>
      <c r="S42" s="237">
        <f t="shared" si="5"/>
        <v>6.73</v>
      </c>
    </row>
    <row r="43" spans="2:19" s="121" customFormat="1" ht="16.5" customHeight="1" x14ac:dyDescent="0.2">
      <c r="B43" s="120"/>
      <c r="C43" s="56" t="s">
        <v>177</v>
      </c>
      <c r="D43" s="56" t="s">
        <v>96</v>
      </c>
      <c r="E43" s="57" t="s">
        <v>255</v>
      </c>
      <c r="F43" s="58" t="s">
        <v>256</v>
      </c>
      <c r="G43" s="59" t="s">
        <v>150</v>
      </c>
      <c r="H43" s="60">
        <v>0.48</v>
      </c>
      <c r="I43" s="61">
        <v>3188.13</v>
      </c>
      <c r="J43" s="60">
        <v>1530.3</v>
      </c>
      <c r="K43" s="68">
        <f t="shared" si="7"/>
        <v>0.04</v>
      </c>
      <c r="L43" s="69">
        <f t="shared" si="0"/>
        <v>3188.13</v>
      </c>
      <c r="M43" s="273">
        <f t="shared" si="1"/>
        <v>127.52520000000001</v>
      </c>
      <c r="N43" s="71">
        <f t="shared" si="2"/>
        <v>0.52</v>
      </c>
      <c r="O43" s="72">
        <f t="shared" si="3"/>
        <v>3188.13</v>
      </c>
      <c r="P43" s="282">
        <f t="shared" si="4"/>
        <v>1657.8276000000001</v>
      </c>
      <c r="R43" s="194"/>
      <c r="S43" s="237">
        <f t="shared" si="5"/>
        <v>0.51</v>
      </c>
    </row>
    <row r="44" spans="2:19" s="170" customFormat="1" ht="22.9" customHeight="1" x14ac:dyDescent="0.2">
      <c r="B44" s="165"/>
      <c r="C44" s="252"/>
      <c r="D44" s="253" t="s">
        <v>4</v>
      </c>
      <c r="E44" s="254" t="s">
        <v>105</v>
      </c>
      <c r="F44" s="254" t="s">
        <v>257</v>
      </c>
      <c r="G44" s="252"/>
      <c r="H44" s="252"/>
      <c r="I44" s="255"/>
      <c r="J44" s="256">
        <f>+SUBTOTAL(9,J45:J49)</f>
        <v>85520.1</v>
      </c>
      <c r="K44" s="261"/>
      <c r="L44" s="262"/>
      <c r="M44" s="279">
        <f>SUM(M45:M49)</f>
        <v>0</v>
      </c>
      <c r="N44" s="280"/>
      <c r="O44" s="262"/>
      <c r="P44" s="279">
        <f>SUM(P45:P49)</f>
        <v>85520.112299999993</v>
      </c>
      <c r="S44" s="237">
        <f t="shared" si="5"/>
        <v>0</v>
      </c>
    </row>
    <row r="45" spans="2:19" s="121" customFormat="1" ht="16.5" customHeight="1" x14ac:dyDescent="0.2">
      <c r="B45" s="120"/>
      <c r="C45" s="56" t="s">
        <v>180</v>
      </c>
      <c r="D45" s="56" t="s">
        <v>96</v>
      </c>
      <c r="E45" s="57" t="s">
        <v>262</v>
      </c>
      <c r="F45" s="58" t="s">
        <v>263</v>
      </c>
      <c r="G45" s="59" t="s">
        <v>108</v>
      </c>
      <c r="H45" s="60">
        <v>51.12</v>
      </c>
      <c r="I45" s="61">
        <v>302.54000000000002</v>
      </c>
      <c r="J45" s="60">
        <v>15465.8</v>
      </c>
      <c r="K45" s="68">
        <v>0</v>
      </c>
      <c r="L45" s="69">
        <f t="shared" si="0"/>
        <v>302.54000000000002</v>
      </c>
      <c r="M45" s="273">
        <f t="shared" si="1"/>
        <v>0</v>
      </c>
      <c r="N45" s="71">
        <f t="shared" si="2"/>
        <v>51.12</v>
      </c>
      <c r="O45" s="72">
        <f t="shared" si="3"/>
        <v>302.54000000000002</v>
      </c>
      <c r="P45" s="282">
        <f t="shared" si="4"/>
        <v>15465.844800000001</v>
      </c>
      <c r="S45" s="237">
        <f t="shared" si="5"/>
        <v>53.96</v>
      </c>
    </row>
    <row r="46" spans="2:19" s="121" customFormat="1" ht="16.5" customHeight="1" x14ac:dyDescent="0.2">
      <c r="B46" s="120"/>
      <c r="C46" s="56" t="s">
        <v>183</v>
      </c>
      <c r="D46" s="56" t="s">
        <v>96</v>
      </c>
      <c r="E46" s="57" t="s">
        <v>268</v>
      </c>
      <c r="F46" s="58" t="s">
        <v>269</v>
      </c>
      <c r="G46" s="59" t="s">
        <v>108</v>
      </c>
      <c r="H46" s="60">
        <v>51.12</v>
      </c>
      <c r="I46" s="61">
        <v>14.18</v>
      </c>
      <c r="J46" s="60">
        <v>724.9</v>
      </c>
      <c r="K46" s="68">
        <v>0</v>
      </c>
      <c r="L46" s="69">
        <f t="shared" si="0"/>
        <v>14.18</v>
      </c>
      <c r="M46" s="273">
        <f t="shared" si="1"/>
        <v>0</v>
      </c>
      <c r="N46" s="71">
        <f t="shared" si="2"/>
        <v>51.12</v>
      </c>
      <c r="O46" s="72">
        <f t="shared" si="3"/>
        <v>14.18</v>
      </c>
      <c r="P46" s="282">
        <f t="shared" si="4"/>
        <v>724.88159999999993</v>
      </c>
      <c r="S46" s="237">
        <f t="shared" si="5"/>
        <v>53.96</v>
      </c>
    </row>
    <row r="47" spans="2:19" s="121" customFormat="1" ht="16.5" customHeight="1" x14ac:dyDescent="0.2">
      <c r="B47" s="120"/>
      <c r="C47" s="56" t="s">
        <v>186</v>
      </c>
      <c r="D47" s="56" t="s">
        <v>96</v>
      </c>
      <c r="E47" s="57" t="s">
        <v>271</v>
      </c>
      <c r="F47" s="58" t="s">
        <v>272</v>
      </c>
      <c r="G47" s="59" t="s">
        <v>108</v>
      </c>
      <c r="H47" s="60">
        <v>97.59</v>
      </c>
      <c r="I47" s="61">
        <v>20.62</v>
      </c>
      <c r="J47" s="60">
        <v>2012.3</v>
      </c>
      <c r="K47" s="68">
        <v>0</v>
      </c>
      <c r="L47" s="69">
        <f t="shared" si="0"/>
        <v>20.62</v>
      </c>
      <c r="M47" s="273">
        <f t="shared" si="1"/>
        <v>0</v>
      </c>
      <c r="N47" s="71">
        <f t="shared" si="2"/>
        <v>97.59</v>
      </c>
      <c r="O47" s="72">
        <f t="shared" si="3"/>
        <v>20.62</v>
      </c>
      <c r="P47" s="282">
        <f t="shared" si="4"/>
        <v>2012.3058000000001</v>
      </c>
      <c r="S47" s="237">
        <f t="shared" si="5"/>
        <v>103.02</v>
      </c>
    </row>
    <row r="48" spans="2:19" s="121" customFormat="1" ht="16.5" customHeight="1" x14ac:dyDescent="0.2">
      <c r="B48" s="120"/>
      <c r="C48" s="56" t="s">
        <v>189</v>
      </c>
      <c r="D48" s="56" t="s">
        <v>96</v>
      </c>
      <c r="E48" s="57" t="s">
        <v>274</v>
      </c>
      <c r="F48" s="58" t="s">
        <v>275</v>
      </c>
      <c r="G48" s="59" t="s">
        <v>108</v>
      </c>
      <c r="H48" s="60">
        <v>97.59</v>
      </c>
      <c r="I48" s="61">
        <v>396.71</v>
      </c>
      <c r="J48" s="60">
        <v>38714.9</v>
      </c>
      <c r="K48" s="68">
        <v>0</v>
      </c>
      <c r="L48" s="69">
        <f t="shared" si="0"/>
        <v>396.71</v>
      </c>
      <c r="M48" s="273">
        <f t="shared" si="1"/>
        <v>0</v>
      </c>
      <c r="N48" s="71">
        <f t="shared" si="2"/>
        <v>97.59</v>
      </c>
      <c r="O48" s="72">
        <f t="shared" si="3"/>
        <v>396.71</v>
      </c>
      <c r="P48" s="282">
        <f t="shared" si="4"/>
        <v>38714.928899999999</v>
      </c>
      <c r="S48" s="237">
        <f t="shared" si="5"/>
        <v>103.02</v>
      </c>
    </row>
    <row r="49" spans="2:19" s="121" customFormat="1" ht="16.5" customHeight="1" x14ac:dyDescent="0.2">
      <c r="B49" s="120"/>
      <c r="C49" s="56" t="s">
        <v>192</v>
      </c>
      <c r="D49" s="56" t="s">
        <v>96</v>
      </c>
      <c r="E49" s="57" t="s">
        <v>277</v>
      </c>
      <c r="F49" s="58" t="s">
        <v>278</v>
      </c>
      <c r="G49" s="59" t="s">
        <v>108</v>
      </c>
      <c r="H49" s="60">
        <v>51.12</v>
      </c>
      <c r="I49" s="61">
        <v>559.51</v>
      </c>
      <c r="J49" s="60">
        <v>28602.2</v>
      </c>
      <c r="K49" s="68">
        <v>0</v>
      </c>
      <c r="L49" s="69">
        <f t="shared" si="0"/>
        <v>559.51</v>
      </c>
      <c r="M49" s="273">
        <f t="shared" si="1"/>
        <v>0</v>
      </c>
      <c r="N49" s="71">
        <f t="shared" si="2"/>
        <v>51.12</v>
      </c>
      <c r="O49" s="72">
        <f t="shared" si="3"/>
        <v>559.51</v>
      </c>
      <c r="P49" s="282">
        <f t="shared" si="4"/>
        <v>28602.151199999997</v>
      </c>
      <c r="S49" s="237">
        <f t="shared" si="5"/>
        <v>53.96</v>
      </c>
    </row>
    <row r="50" spans="2:19" s="170" customFormat="1" ht="22.9" customHeight="1" x14ac:dyDescent="0.2">
      <c r="B50" s="165"/>
      <c r="C50" s="252"/>
      <c r="D50" s="253" t="s">
        <v>4</v>
      </c>
      <c r="E50" s="254" t="s">
        <v>115</v>
      </c>
      <c r="F50" s="254" t="s">
        <v>288</v>
      </c>
      <c r="G50" s="252"/>
      <c r="H50" s="252"/>
      <c r="I50" s="255"/>
      <c r="J50" s="256">
        <f>+SUBTOTAL(9,J51:J71)</f>
        <v>150941.5</v>
      </c>
      <c r="K50" s="261"/>
      <c r="L50" s="262"/>
      <c r="M50" s="279">
        <f>SUM(M51:M71)</f>
        <v>6758.68</v>
      </c>
      <c r="N50" s="280"/>
      <c r="O50" s="262"/>
      <c r="P50" s="279">
        <f>SUM(P51:P71)</f>
        <v>157700.25750000001</v>
      </c>
      <c r="S50" s="237">
        <f t="shared" si="5"/>
        <v>0</v>
      </c>
    </row>
    <row r="51" spans="2:19" s="121" customFormat="1" ht="16.5" customHeight="1" x14ac:dyDescent="0.2">
      <c r="B51" s="120"/>
      <c r="C51" s="56" t="s">
        <v>195</v>
      </c>
      <c r="D51" s="56" t="s">
        <v>96</v>
      </c>
      <c r="E51" s="57" t="s">
        <v>296</v>
      </c>
      <c r="F51" s="58" t="s">
        <v>297</v>
      </c>
      <c r="G51" s="59" t="s">
        <v>133</v>
      </c>
      <c r="H51" s="60">
        <v>44.05</v>
      </c>
      <c r="I51" s="61">
        <v>552.39</v>
      </c>
      <c r="J51" s="60">
        <v>24332.799999999999</v>
      </c>
      <c r="K51" s="68">
        <f>50.5-S51</f>
        <v>4</v>
      </c>
      <c r="L51" s="69">
        <f t="shared" si="0"/>
        <v>552.39</v>
      </c>
      <c r="M51" s="273">
        <f t="shared" si="1"/>
        <v>2209.56</v>
      </c>
      <c r="N51" s="71">
        <f t="shared" si="2"/>
        <v>48.05</v>
      </c>
      <c r="O51" s="72">
        <f t="shared" si="3"/>
        <v>552.39</v>
      </c>
      <c r="P51" s="282">
        <f t="shared" si="4"/>
        <v>26542.339499999998</v>
      </c>
      <c r="R51" s="194"/>
      <c r="S51" s="237">
        <f t="shared" si="5"/>
        <v>46.5</v>
      </c>
    </row>
    <row r="52" spans="2:19" s="121" customFormat="1" ht="16.5" customHeight="1" x14ac:dyDescent="0.2">
      <c r="B52" s="120"/>
      <c r="C52" s="73" t="s">
        <v>198</v>
      </c>
      <c r="D52" s="73" t="s">
        <v>209</v>
      </c>
      <c r="E52" s="74" t="s">
        <v>299</v>
      </c>
      <c r="F52" s="75" t="s">
        <v>300</v>
      </c>
      <c r="G52" s="76" t="s">
        <v>133</v>
      </c>
      <c r="H52" s="77">
        <v>44.05</v>
      </c>
      <c r="I52" s="78">
        <v>1060.07</v>
      </c>
      <c r="J52" s="77">
        <v>46696.1</v>
      </c>
      <c r="K52" s="68">
        <f>50.5-S52</f>
        <v>4</v>
      </c>
      <c r="L52" s="69">
        <f t="shared" si="0"/>
        <v>1060.07</v>
      </c>
      <c r="M52" s="273">
        <f t="shared" si="1"/>
        <v>4240.28</v>
      </c>
      <c r="N52" s="71">
        <f t="shared" si="2"/>
        <v>48.05</v>
      </c>
      <c r="O52" s="72">
        <f t="shared" si="3"/>
        <v>1060.07</v>
      </c>
      <c r="P52" s="282">
        <f t="shared" si="4"/>
        <v>50936.363499999992</v>
      </c>
      <c r="R52" s="194"/>
      <c r="S52" s="237">
        <f t="shared" si="5"/>
        <v>46.5</v>
      </c>
    </row>
    <row r="53" spans="2:19" s="121" customFormat="1" ht="16.5" customHeight="1" x14ac:dyDescent="0.2">
      <c r="B53" s="120"/>
      <c r="C53" s="73" t="s">
        <v>202</v>
      </c>
      <c r="D53" s="73" t="s">
        <v>209</v>
      </c>
      <c r="E53" s="74" t="s">
        <v>302</v>
      </c>
      <c r="F53" s="75" t="s">
        <v>303</v>
      </c>
      <c r="G53" s="76" t="s">
        <v>99</v>
      </c>
      <c r="H53" s="77">
        <v>4</v>
      </c>
      <c r="I53" s="78">
        <v>739.15</v>
      </c>
      <c r="J53" s="77">
        <v>2956.6</v>
      </c>
      <c r="K53" s="68">
        <v>0</v>
      </c>
      <c r="L53" s="69">
        <f t="shared" si="0"/>
        <v>739.15</v>
      </c>
      <c r="M53" s="273">
        <f t="shared" si="1"/>
        <v>0</v>
      </c>
      <c r="N53" s="71">
        <f t="shared" si="2"/>
        <v>4</v>
      </c>
      <c r="O53" s="72">
        <f t="shared" si="3"/>
        <v>739.15</v>
      </c>
      <c r="P53" s="282">
        <f t="shared" si="4"/>
        <v>2956.6</v>
      </c>
      <c r="R53" s="194"/>
      <c r="S53" s="237">
        <f t="shared" si="5"/>
        <v>4.22</v>
      </c>
    </row>
    <row r="54" spans="2:19" s="121" customFormat="1" ht="16.5" customHeight="1" x14ac:dyDescent="0.2">
      <c r="B54" s="120"/>
      <c r="C54" s="56" t="s">
        <v>205</v>
      </c>
      <c r="D54" s="56" t="s">
        <v>96</v>
      </c>
      <c r="E54" s="57" t="s">
        <v>320</v>
      </c>
      <c r="F54" s="58" t="s">
        <v>321</v>
      </c>
      <c r="G54" s="59" t="s">
        <v>99</v>
      </c>
      <c r="H54" s="60">
        <v>2</v>
      </c>
      <c r="I54" s="61">
        <v>260.41000000000003</v>
      </c>
      <c r="J54" s="60">
        <v>520.79999999999995</v>
      </c>
      <c r="K54" s="68">
        <v>0</v>
      </c>
      <c r="L54" s="69">
        <f t="shared" si="0"/>
        <v>260.41000000000003</v>
      </c>
      <c r="M54" s="273">
        <f t="shared" si="1"/>
        <v>0</v>
      </c>
      <c r="N54" s="71">
        <f t="shared" si="2"/>
        <v>2</v>
      </c>
      <c r="O54" s="72">
        <f t="shared" si="3"/>
        <v>260.41000000000003</v>
      </c>
      <c r="P54" s="282">
        <f t="shared" si="4"/>
        <v>520.82000000000005</v>
      </c>
      <c r="R54" s="194"/>
      <c r="S54" s="237">
        <f t="shared" si="5"/>
        <v>2.11</v>
      </c>
    </row>
    <row r="55" spans="2:19" s="121" customFormat="1" ht="16.5" customHeight="1" x14ac:dyDescent="0.2">
      <c r="B55" s="120"/>
      <c r="C55" s="73" t="s">
        <v>208</v>
      </c>
      <c r="D55" s="73" t="s">
        <v>209</v>
      </c>
      <c r="E55" s="74" t="s">
        <v>326</v>
      </c>
      <c r="F55" s="75" t="s">
        <v>327</v>
      </c>
      <c r="G55" s="76" t="s">
        <v>99</v>
      </c>
      <c r="H55" s="77">
        <v>2.0299999999999998</v>
      </c>
      <c r="I55" s="78">
        <v>1801.85</v>
      </c>
      <c r="J55" s="77">
        <v>3657.8</v>
      </c>
      <c r="K55" s="68">
        <v>0</v>
      </c>
      <c r="L55" s="69">
        <f t="shared" si="0"/>
        <v>1801.85</v>
      </c>
      <c r="M55" s="273">
        <f t="shared" si="1"/>
        <v>0</v>
      </c>
      <c r="N55" s="71">
        <f t="shared" si="2"/>
        <v>2.0299999999999998</v>
      </c>
      <c r="O55" s="72">
        <f t="shared" si="3"/>
        <v>1801.85</v>
      </c>
      <c r="P55" s="282">
        <f t="shared" si="4"/>
        <v>3657.7554999999993</v>
      </c>
      <c r="R55" s="194"/>
      <c r="S55" s="237">
        <f t="shared" si="5"/>
        <v>2.14</v>
      </c>
    </row>
    <row r="56" spans="2:19" s="121" customFormat="1" ht="16.5" customHeight="1" x14ac:dyDescent="0.2">
      <c r="B56" s="120"/>
      <c r="C56" s="56" t="s">
        <v>212</v>
      </c>
      <c r="D56" s="56" t="s">
        <v>96</v>
      </c>
      <c r="E56" s="57" t="s">
        <v>329</v>
      </c>
      <c r="F56" s="58" t="s">
        <v>330</v>
      </c>
      <c r="G56" s="59" t="s">
        <v>99</v>
      </c>
      <c r="H56" s="60">
        <v>3</v>
      </c>
      <c r="I56" s="61">
        <v>219.64</v>
      </c>
      <c r="J56" s="60">
        <v>658.9</v>
      </c>
      <c r="K56" s="68">
        <v>0</v>
      </c>
      <c r="L56" s="69">
        <f t="shared" si="0"/>
        <v>219.64</v>
      </c>
      <c r="M56" s="273">
        <f t="shared" si="1"/>
        <v>0</v>
      </c>
      <c r="N56" s="71">
        <f t="shared" si="2"/>
        <v>3</v>
      </c>
      <c r="O56" s="72">
        <f t="shared" si="3"/>
        <v>219.64</v>
      </c>
      <c r="P56" s="282">
        <f t="shared" si="4"/>
        <v>658.92</v>
      </c>
      <c r="R56" s="194"/>
      <c r="S56" s="237">
        <f t="shared" si="5"/>
        <v>3.17</v>
      </c>
    </row>
    <row r="57" spans="2:19" s="121" customFormat="1" ht="16.5" customHeight="1" x14ac:dyDescent="0.2">
      <c r="B57" s="120"/>
      <c r="C57" s="73" t="s">
        <v>215</v>
      </c>
      <c r="D57" s="73" t="s">
        <v>209</v>
      </c>
      <c r="E57" s="74" t="s">
        <v>332</v>
      </c>
      <c r="F57" s="75" t="s">
        <v>333</v>
      </c>
      <c r="G57" s="76" t="s">
        <v>99</v>
      </c>
      <c r="H57" s="77">
        <v>1.02</v>
      </c>
      <c r="I57" s="78">
        <v>1129.77</v>
      </c>
      <c r="J57" s="77">
        <v>1152.4000000000001</v>
      </c>
      <c r="K57" s="68">
        <v>0</v>
      </c>
      <c r="L57" s="69">
        <f t="shared" si="0"/>
        <v>1129.77</v>
      </c>
      <c r="M57" s="273">
        <f t="shared" si="1"/>
        <v>0</v>
      </c>
      <c r="N57" s="71">
        <f t="shared" si="2"/>
        <v>1.02</v>
      </c>
      <c r="O57" s="72">
        <f t="shared" si="3"/>
        <v>1129.77</v>
      </c>
      <c r="P57" s="282">
        <f t="shared" si="4"/>
        <v>1152.3653999999999</v>
      </c>
      <c r="R57" s="194"/>
      <c r="S57" s="237">
        <f t="shared" si="5"/>
        <v>1.08</v>
      </c>
    </row>
    <row r="58" spans="2:19" s="121" customFormat="1" ht="16.5" customHeight="1" x14ac:dyDescent="0.2">
      <c r="B58" s="120"/>
      <c r="C58" s="73" t="s">
        <v>219</v>
      </c>
      <c r="D58" s="73" t="s">
        <v>209</v>
      </c>
      <c r="E58" s="74" t="s">
        <v>335</v>
      </c>
      <c r="F58" s="75" t="s">
        <v>336</v>
      </c>
      <c r="G58" s="76" t="s">
        <v>99</v>
      </c>
      <c r="H58" s="77">
        <v>2.0299999999999998</v>
      </c>
      <c r="I58" s="78">
        <v>1129.77</v>
      </c>
      <c r="J58" s="77">
        <v>2293.4</v>
      </c>
      <c r="K58" s="68">
        <v>0</v>
      </c>
      <c r="L58" s="69">
        <f t="shared" si="0"/>
        <v>1129.77</v>
      </c>
      <c r="M58" s="273">
        <f t="shared" si="1"/>
        <v>0</v>
      </c>
      <c r="N58" s="71">
        <f t="shared" si="2"/>
        <v>2.0299999999999998</v>
      </c>
      <c r="O58" s="72">
        <f t="shared" si="3"/>
        <v>1129.77</v>
      </c>
      <c r="P58" s="282">
        <f t="shared" si="4"/>
        <v>2293.4330999999997</v>
      </c>
      <c r="R58" s="194"/>
      <c r="S58" s="237">
        <f t="shared" si="5"/>
        <v>2.14</v>
      </c>
    </row>
    <row r="59" spans="2:19" s="121" customFormat="1" ht="33.75" customHeight="1" x14ac:dyDescent="0.2">
      <c r="B59" s="120"/>
      <c r="C59" s="56" t="s">
        <v>223</v>
      </c>
      <c r="D59" s="56" t="s">
        <v>96</v>
      </c>
      <c r="E59" s="57" t="s">
        <v>347</v>
      </c>
      <c r="F59" s="58" t="s">
        <v>348</v>
      </c>
      <c r="G59" s="59" t="s">
        <v>133</v>
      </c>
      <c r="H59" s="60">
        <v>44.05</v>
      </c>
      <c r="I59" s="61">
        <v>68</v>
      </c>
      <c r="J59" s="60">
        <v>2995.4</v>
      </c>
      <c r="K59" s="68">
        <f>50.5-S59</f>
        <v>4</v>
      </c>
      <c r="L59" s="69">
        <f t="shared" si="0"/>
        <v>68</v>
      </c>
      <c r="M59" s="273">
        <f t="shared" si="1"/>
        <v>272</v>
      </c>
      <c r="N59" s="71">
        <f t="shared" si="2"/>
        <v>48.05</v>
      </c>
      <c r="O59" s="72">
        <f t="shared" si="3"/>
        <v>68</v>
      </c>
      <c r="P59" s="282">
        <f t="shared" si="4"/>
        <v>3267.3999999999996</v>
      </c>
      <c r="S59" s="237">
        <f t="shared" si="5"/>
        <v>46.5</v>
      </c>
    </row>
    <row r="60" spans="2:19" s="121" customFormat="1" ht="16.5" customHeight="1" x14ac:dyDescent="0.2">
      <c r="B60" s="120"/>
      <c r="C60" s="56" t="s">
        <v>226</v>
      </c>
      <c r="D60" s="56" t="s">
        <v>96</v>
      </c>
      <c r="E60" s="57" t="s">
        <v>350</v>
      </c>
      <c r="F60" s="58" t="s">
        <v>351</v>
      </c>
      <c r="G60" s="59" t="s">
        <v>99</v>
      </c>
      <c r="H60" s="60">
        <v>4</v>
      </c>
      <c r="I60" s="61">
        <v>808.86</v>
      </c>
      <c r="J60" s="60">
        <v>3235.4</v>
      </c>
      <c r="K60" s="68">
        <v>0</v>
      </c>
      <c r="L60" s="69">
        <f t="shared" si="0"/>
        <v>808.86</v>
      </c>
      <c r="M60" s="273">
        <f t="shared" si="1"/>
        <v>0</v>
      </c>
      <c r="N60" s="71">
        <f t="shared" si="2"/>
        <v>4</v>
      </c>
      <c r="O60" s="72">
        <f t="shared" si="3"/>
        <v>808.86</v>
      </c>
      <c r="P60" s="282">
        <f t="shared" si="4"/>
        <v>3235.44</v>
      </c>
      <c r="S60" s="237">
        <f t="shared" si="5"/>
        <v>4.22</v>
      </c>
    </row>
    <row r="61" spans="2:19" s="121" customFormat="1" ht="16.5" customHeight="1" x14ac:dyDescent="0.2">
      <c r="B61" s="120"/>
      <c r="C61" s="73" t="s">
        <v>230</v>
      </c>
      <c r="D61" s="73" t="s">
        <v>209</v>
      </c>
      <c r="E61" s="74" t="s">
        <v>353</v>
      </c>
      <c r="F61" s="75" t="s">
        <v>354</v>
      </c>
      <c r="G61" s="76" t="s">
        <v>99</v>
      </c>
      <c r="H61" s="77">
        <v>1</v>
      </c>
      <c r="I61" s="78">
        <v>3481.39</v>
      </c>
      <c r="J61" s="77">
        <v>3481.4</v>
      </c>
      <c r="K61" s="68">
        <v>0</v>
      </c>
      <c r="L61" s="69">
        <f t="shared" si="0"/>
        <v>3481.39</v>
      </c>
      <c r="M61" s="273">
        <f t="shared" si="1"/>
        <v>0</v>
      </c>
      <c r="N61" s="71">
        <f t="shared" si="2"/>
        <v>1</v>
      </c>
      <c r="O61" s="72">
        <f t="shared" si="3"/>
        <v>3481.39</v>
      </c>
      <c r="P61" s="282">
        <f t="shared" si="4"/>
        <v>3481.39</v>
      </c>
      <c r="S61" s="237">
        <f t="shared" si="5"/>
        <v>1.06</v>
      </c>
    </row>
    <row r="62" spans="2:19" s="121" customFormat="1" ht="16.5" customHeight="1" x14ac:dyDescent="0.2">
      <c r="B62" s="120"/>
      <c r="C62" s="73" t="s">
        <v>233</v>
      </c>
      <c r="D62" s="73" t="s">
        <v>209</v>
      </c>
      <c r="E62" s="74" t="s">
        <v>356</v>
      </c>
      <c r="F62" s="75" t="s">
        <v>357</v>
      </c>
      <c r="G62" s="76" t="s">
        <v>99</v>
      </c>
      <c r="H62" s="77">
        <v>2</v>
      </c>
      <c r="I62" s="78">
        <v>1202.1099999999999</v>
      </c>
      <c r="J62" s="77">
        <v>2404.1999999999998</v>
      </c>
      <c r="K62" s="68">
        <v>0</v>
      </c>
      <c r="L62" s="69">
        <f t="shared" si="0"/>
        <v>1202.1099999999999</v>
      </c>
      <c r="M62" s="273">
        <f t="shared" si="1"/>
        <v>0</v>
      </c>
      <c r="N62" s="71">
        <f t="shared" si="2"/>
        <v>2</v>
      </c>
      <c r="O62" s="72">
        <f t="shared" si="3"/>
        <v>1202.1099999999999</v>
      </c>
      <c r="P62" s="282">
        <f t="shared" si="4"/>
        <v>2404.2199999999998</v>
      </c>
      <c r="S62" s="237">
        <f t="shared" si="5"/>
        <v>2.11</v>
      </c>
    </row>
    <row r="63" spans="2:19" s="121" customFormat="1" ht="16.5" customHeight="1" x14ac:dyDescent="0.2">
      <c r="B63" s="120"/>
      <c r="C63" s="73" t="s">
        <v>236</v>
      </c>
      <c r="D63" s="73" t="s">
        <v>209</v>
      </c>
      <c r="E63" s="74" t="s">
        <v>359</v>
      </c>
      <c r="F63" s="75" t="s">
        <v>360</v>
      </c>
      <c r="G63" s="76" t="s">
        <v>99</v>
      </c>
      <c r="H63" s="77">
        <v>1</v>
      </c>
      <c r="I63" s="78">
        <v>775.98</v>
      </c>
      <c r="J63" s="77">
        <v>776</v>
      </c>
      <c r="K63" s="68">
        <v>0</v>
      </c>
      <c r="L63" s="69">
        <f t="shared" si="0"/>
        <v>775.98</v>
      </c>
      <c r="M63" s="273">
        <f t="shared" si="1"/>
        <v>0</v>
      </c>
      <c r="N63" s="71">
        <f t="shared" si="2"/>
        <v>1</v>
      </c>
      <c r="O63" s="72">
        <f t="shared" si="3"/>
        <v>775.98</v>
      </c>
      <c r="P63" s="282">
        <f t="shared" si="4"/>
        <v>775.98</v>
      </c>
      <c r="S63" s="237">
        <f t="shared" si="5"/>
        <v>1.06</v>
      </c>
    </row>
    <row r="64" spans="2:19" s="121" customFormat="1" ht="16.5" customHeight="1" x14ac:dyDescent="0.2">
      <c r="B64" s="120"/>
      <c r="C64" s="73" t="s">
        <v>239</v>
      </c>
      <c r="D64" s="73" t="s">
        <v>209</v>
      </c>
      <c r="E64" s="74" t="s">
        <v>362</v>
      </c>
      <c r="F64" s="75" t="s">
        <v>363</v>
      </c>
      <c r="G64" s="76" t="s">
        <v>99</v>
      </c>
      <c r="H64" s="77">
        <v>5</v>
      </c>
      <c r="I64" s="78">
        <v>211.75</v>
      </c>
      <c r="J64" s="77">
        <v>1058.8</v>
      </c>
      <c r="K64" s="68">
        <v>0</v>
      </c>
      <c r="L64" s="69">
        <f t="shared" si="0"/>
        <v>211.75</v>
      </c>
      <c r="M64" s="273">
        <f t="shared" si="1"/>
        <v>0</v>
      </c>
      <c r="N64" s="71">
        <f t="shared" si="2"/>
        <v>5</v>
      </c>
      <c r="O64" s="72">
        <f t="shared" si="3"/>
        <v>211.75</v>
      </c>
      <c r="P64" s="282">
        <f t="shared" si="4"/>
        <v>1058.75</v>
      </c>
      <c r="S64" s="237">
        <f t="shared" si="5"/>
        <v>5.28</v>
      </c>
    </row>
    <row r="65" spans="2:19" s="121" customFormat="1" ht="16.5" customHeight="1" x14ac:dyDescent="0.2">
      <c r="B65" s="120"/>
      <c r="C65" s="56" t="s">
        <v>242</v>
      </c>
      <c r="D65" s="56" t="s">
        <v>96</v>
      </c>
      <c r="E65" s="57" t="s">
        <v>365</v>
      </c>
      <c r="F65" s="58" t="s">
        <v>366</v>
      </c>
      <c r="G65" s="59" t="s">
        <v>99</v>
      </c>
      <c r="H65" s="60">
        <v>2</v>
      </c>
      <c r="I65" s="61">
        <v>808.86</v>
      </c>
      <c r="J65" s="60">
        <v>1617.7</v>
      </c>
      <c r="K65" s="68">
        <v>0</v>
      </c>
      <c r="L65" s="69">
        <f t="shared" si="0"/>
        <v>808.86</v>
      </c>
      <c r="M65" s="273">
        <f t="shared" si="1"/>
        <v>0</v>
      </c>
      <c r="N65" s="71">
        <f t="shared" si="2"/>
        <v>2</v>
      </c>
      <c r="O65" s="72">
        <f t="shared" si="3"/>
        <v>808.86</v>
      </c>
      <c r="P65" s="282">
        <f t="shared" si="4"/>
        <v>1617.72</v>
      </c>
      <c r="S65" s="237">
        <f t="shared" si="5"/>
        <v>2.11</v>
      </c>
    </row>
    <row r="66" spans="2:19" s="121" customFormat="1" ht="16.5" customHeight="1" x14ac:dyDescent="0.2">
      <c r="B66" s="120"/>
      <c r="C66" s="73" t="s">
        <v>245</v>
      </c>
      <c r="D66" s="73" t="s">
        <v>209</v>
      </c>
      <c r="E66" s="74" t="s">
        <v>368</v>
      </c>
      <c r="F66" s="75" t="s">
        <v>369</v>
      </c>
      <c r="G66" s="76" t="s">
        <v>99</v>
      </c>
      <c r="H66" s="77">
        <v>2</v>
      </c>
      <c r="I66" s="78">
        <v>1530.92</v>
      </c>
      <c r="J66" s="77">
        <v>3061.8</v>
      </c>
      <c r="K66" s="68">
        <v>0</v>
      </c>
      <c r="L66" s="69">
        <f t="shared" si="0"/>
        <v>1530.92</v>
      </c>
      <c r="M66" s="273">
        <f t="shared" si="1"/>
        <v>0</v>
      </c>
      <c r="N66" s="71">
        <f t="shared" si="2"/>
        <v>2</v>
      </c>
      <c r="O66" s="72">
        <f t="shared" si="3"/>
        <v>1530.92</v>
      </c>
      <c r="P66" s="282">
        <f t="shared" si="4"/>
        <v>3061.84</v>
      </c>
      <c r="S66" s="237">
        <f t="shared" si="5"/>
        <v>2.11</v>
      </c>
    </row>
    <row r="67" spans="2:19" s="121" customFormat="1" ht="16.5" customHeight="1" x14ac:dyDescent="0.2">
      <c r="B67" s="120"/>
      <c r="C67" s="56" t="s">
        <v>248</v>
      </c>
      <c r="D67" s="56" t="s">
        <v>96</v>
      </c>
      <c r="E67" s="57" t="s">
        <v>371</v>
      </c>
      <c r="F67" s="58" t="s">
        <v>372</v>
      </c>
      <c r="G67" s="59" t="s">
        <v>99</v>
      </c>
      <c r="H67" s="60">
        <v>2</v>
      </c>
      <c r="I67" s="61">
        <v>3234.12</v>
      </c>
      <c r="J67" s="60">
        <v>6468.2</v>
      </c>
      <c r="K67" s="68">
        <v>0</v>
      </c>
      <c r="L67" s="69">
        <f t="shared" si="0"/>
        <v>3234.12</v>
      </c>
      <c r="M67" s="273">
        <f t="shared" si="1"/>
        <v>0</v>
      </c>
      <c r="N67" s="71">
        <f t="shared" si="2"/>
        <v>2</v>
      </c>
      <c r="O67" s="72">
        <f t="shared" si="3"/>
        <v>3234.12</v>
      </c>
      <c r="P67" s="282">
        <f t="shared" si="4"/>
        <v>6468.24</v>
      </c>
      <c r="S67" s="237">
        <f t="shared" si="5"/>
        <v>2.11</v>
      </c>
    </row>
    <row r="68" spans="2:19" s="121" customFormat="1" ht="16.5" customHeight="1" x14ac:dyDescent="0.2">
      <c r="B68" s="120"/>
      <c r="C68" s="73" t="s">
        <v>251</v>
      </c>
      <c r="D68" s="73" t="s">
        <v>209</v>
      </c>
      <c r="E68" s="74" t="s">
        <v>374</v>
      </c>
      <c r="F68" s="75" t="s">
        <v>375</v>
      </c>
      <c r="G68" s="76" t="s">
        <v>99</v>
      </c>
      <c r="H68" s="77">
        <v>2</v>
      </c>
      <c r="I68" s="78">
        <v>14588.41</v>
      </c>
      <c r="J68" s="77">
        <v>29176.799999999999</v>
      </c>
      <c r="K68" s="68">
        <v>0</v>
      </c>
      <c r="L68" s="69">
        <f t="shared" si="0"/>
        <v>14588.41</v>
      </c>
      <c r="M68" s="273">
        <f t="shared" si="1"/>
        <v>0</v>
      </c>
      <c r="N68" s="71">
        <f t="shared" si="2"/>
        <v>2</v>
      </c>
      <c r="O68" s="72">
        <f t="shared" si="3"/>
        <v>14588.41</v>
      </c>
      <c r="P68" s="282">
        <f t="shared" si="4"/>
        <v>29176.82</v>
      </c>
      <c r="S68" s="237">
        <f t="shared" si="5"/>
        <v>2.11</v>
      </c>
    </row>
    <row r="69" spans="2:19" s="121" customFormat="1" ht="16.5" customHeight="1" x14ac:dyDescent="0.2">
      <c r="B69" s="120"/>
      <c r="C69" s="56" t="s">
        <v>254</v>
      </c>
      <c r="D69" s="56" t="s">
        <v>96</v>
      </c>
      <c r="E69" s="57" t="s">
        <v>377</v>
      </c>
      <c r="F69" s="58" t="s">
        <v>378</v>
      </c>
      <c r="G69" s="59" t="s">
        <v>99</v>
      </c>
      <c r="H69" s="60">
        <v>2</v>
      </c>
      <c r="I69" s="61">
        <v>485.32</v>
      </c>
      <c r="J69" s="60">
        <v>970.6</v>
      </c>
      <c r="K69" s="68">
        <v>0</v>
      </c>
      <c r="L69" s="69">
        <f t="shared" si="0"/>
        <v>485.32</v>
      </c>
      <c r="M69" s="273">
        <f t="shared" si="1"/>
        <v>0</v>
      </c>
      <c r="N69" s="71">
        <f t="shared" si="2"/>
        <v>2</v>
      </c>
      <c r="O69" s="72">
        <f t="shared" si="3"/>
        <v>485.32</v>
      </c>
      <c r="P69" s="282">
        <f t="shared" si="4"/>
        <v>970.64</v>
      </c>
      <c r="S69" s="237">
        <f t="shared" si="5"/>
        <v>2.11</v>
      </c>
    </row>
    <row r="70" spans="2:19" s="121" customFormat="1" ht="16.5" customHeight="1" x14ac:dyDescent="0.2">
      <c r="B70" s="120"/>
      <c r="C70" s="73" t="s">
        <v>258</v>
      </c>
      <c r="D70" s="73" t="s">
        <v>209</v>
      </c>
      <c r="E70" s="74" t="s">
        <v>380</v>
      </c>
      <c r="F70" s="75" t="s">
        <v>381</v>
      </c>
      <c r="G70" s="76" t="s">
        <v>99</v>
      </c>
      <c r="H70" s="77">
        <v>2</v>
      </c>
      <c r="I70" s="78">
        <v>6510.34</v>
      </c>
      <c r="J70" s="77">
        <v>13020.7</v>
      </c>
      <c r="K70" s="68">
        <v>0</v>
      </c>
      <c r="L70" s="69">
        <f t="shared" si="0"/>
        <v>6510.34</v>
      </c>
      <c r="M70" s="273">
        <f t="shared" si="1"/>
        <v>0</v>
      </c>
      <c r="N70" s="71">
        <f t="shared" si="2"/>
        <v>2</v>
      </c>
      <c r="O70" s="72">
        <f t="shared" si="3"/>
        <v>6510.34</v>
      </c>
      <c r="P70" s="282">
        <f t="shared" si="4"/>
        <v>13020.68</v>
      </c>
      <c r="S70" s="237">
        <f t="shared" si="5"/>
        <v>2.11</v>
      </c>
    </row>
    <row r="71" spans="2:19" s="121" customFormat="1" ht="16.5" customHeight="1" x14ac:dyDescent="0.2">
      <c r="B71" s="120"/>
      <c r="C71" s="56" t="s">
        <v>261</v>
      </c>
      <c r="D71" s="56" t="s">
        <v>96</v>
      </c>
      <c r="E71" s="57" t="s">
        <v>383</v>
      </c>
      <c r="F71" s="58" t="s">
        <v>384</v>
      </c>
      <c r="G71" s="59" t="s">
        <v>133</v>
      </c>
      <c r="H71" s="60">
        <v>44.05</v>
      </c>
      <c r="I71" s="61">
        <v>9.2100000000000009</v>
      </c>
      <c r="J71" s="60">
        <v>405.7</v>
      </c>
      <c r="K71" s="68">
        <f>50.5-S71</f>
        <v>4</v>
      </c>
      <c r="L71" s="69">
        <f t="shared" si="0"/>
        <v>9.2100000000000009</v>
      </c>
      <c r="M71" s="273">
        <f t="shared" si="1"/>
        <v>36.840000000000003</v>
      </c>
      <c r="N71" s="71">
        <f t="shared" si="2"/>
        <v>48.05</v>
      </c>
      <c r="O71" s="72">
        <f t="shared" si="3"/>
        <v>9.2100000000000009</v>
      </c>
      <c r="P71" s="282">
        <f t="shared" si="4"/>
        <v>442.54050000000001</v>
      </c>
      <c r="S71" s="237">
        <f t="shared" si="5"/>
        <v>46.5</v>
      </c>
    </row>
    <row r="72" spans="2:19" s="170" customFormat="1" ht="22.9" customHeight="1" x14ac:dyDescent="0.2">
      <c r="B72" s="165"/>
      <c r="C72" s="252"/>
      <c r="D72" s="253" t="s">
        <v>4</v>
      </c>
      <c r="E72" s="254" t="s">
        <v>118</v>
      </c>
      <c r="F72" s="254" t="s">
        <v>385</v>
      </c>
      <c r="G72" s="252"/>
      <c r="H72" s="252"/>
      <c r="I72" s="255"/>
      <c r="J72" s="256">
        <f>+SUBTOTAL(9,J73:J74)</f>
        <v>14869.5</v>
      </c>
      <c r="K72" s="261"/>
      <c r="L72" s="262"/>
      <c r="M72" s="279">
        <f>SUM(M73:M74)</f>
        <v>0</v>
      </c>
      <c r="N72" s="280"/>
      <c r="O72" s="262"/>
      <c r="P72" s="279">
        <f>SUM(P73:P74)</f>
        <v>14869.470600000001</v>
      </c>
      <c r="S72" s="237">
        <f t="shared" si="5"/>
        <v>0</v>
      </c>
    </row>
    <row r="73" spans="2:19" s="121" customFormat="1" ht="16.5" customHeight="1" x14ac:dyDescent="0.2">
      <c r="B73" s="120"/>
      <c r="C73" s="56" t="s">
        <v>264</v>
      </c>
      <c r="D73" s="56" t="s">
        <v>96</v>
      </c>
      <c r="E73" s="57" t="s">
        <v>387</v>
      </c>
      <c r="F73" s="58" t="s">
        <v>388</v>
      </c>
      <c r="G73" s="59" t="s">
        <v>133</v>
      </c>
      <c r="H73" s="60">
        <v>92.94</v>
      </c>
      <c r="I73" s="61">
        <v>87.65</v>
      </c>
      <c r="J73" s="60">
        <v>8146.2</v>
      </c>
      <c r="K73" s="68">
        <v>0</v>
      </c>
      <c r="L73" s="69">
        <f t="shared" si="0"/>
        <v>87.65</v>
      </c>
      <c r="M73" s="273">
        <f t="shared" si="1"/>
        <v>0</v>
      </c>
      <c r="N73" s="71">
        <f t="shared" si="2"/>
        <v>92.94</v>
      </c>
      <c r="O73" s="72">
        <f t="shared" si="3"/>
        <v>87.65</v>
      </c>
      <c r="P73" s="282">
        <f t="shared" si="4"/>
        <v>8146.1910000000007</v>
      </c>
      <c r="S73" s="237">
        <f t="shared" si="5"/>
        <v>98.11</v>
      </c>
    </row>
    <row r="74" spans="2:19" s="121" customFormat="1" ht="16.5" customHeight="1" x14ac:dyDescent="0.2">
      <c r="B74" s="120"/>
      <c r="C74" s="56" t="s">
        <v>267</v>
      </c>
      <c r="D74" s="56" t="s">
        <v>96</v>
      </c>
      <c r="E74" s="57" t="s">
        <v>390</v>
      </c>
      <c r="F74" s="58" t="s">
        <v>391</v>
      </c>
      <c r="G74" s="59" t="s">
        <v>133</v>
      </c>
      <c r="H74" s="60">
        <v>92.94</v>
      </c>
      <c r="I74" s="61">
        <v>72.34</v>
      </c>
      <c r="J74" s="60">
        <v>6723.3</v>
      </c>
      <c r="K74" s="68">
        <v>0</v>
      </c>
      <c r="L74" s="69">
        <f t="shared" si="0"/>
        <v>72.34</v>
      </c>
      <c r="M74" s="273">
        <f t="shared" si="1"/>
        <v>0</v>
      </c>
      <c r="N74" s="71">
        <f t="shared" si="2"/>
        <v>92.94</v>
      </c>
      <c r="O74" s="72">
        <f t="shared" si="3"/>
        <v>72.34</v>
      </c>
      <c r="P74" s="282">
        <f t="shared" si="4"/>
        <v>6723.2795999999998</v>
      </c>
      <c r="S74" s="237">
        <f t="shared" si="5"/>
        <v>98.11</v>
      </c>
    </row>
    <row r="75" spans="2:19" s="170" customFormat="1" ht="22.9" customHeight="1" x14ac:dyDescent="0.2">
      <c r="B75" s="165"/>
      <c r="C75" s="252"/>
      <c r="D75" s="253" t="s">
        <v>4</v>
      </c>
      <c r="E75" s="254" t="s">
        <v>398</v>
      </c>
      <c r="F75" s="254" t="s">
        <v>399</v>
      </c>
      <c r="G75" s="252"/>
      <c r="H75" s="252"/>
      <c r="I75" s="255"/>
      <c r="J75" s="256">
        <f>+SUBTOTAL(9,J76:J78)</f>
        <v>18908.7</v>
      </c>
      <c r="K75" s="261"/>
      <c r="L75" s="262"/>
      <c r="M75" s="279">
        <f>SUM(M76:M78)</f>
        <v>1116.982</v>
      </c>
      <c r="N75" s="280"/>
      <c r="O75" s="262"/>
      <c r="P75" s="279">
        <f>SUM(P76:P78)</f>
        <v>20025.750099999997</v>
      </c>
      <c r="S75" s="237">
        <f t="shared" si="5"/>
        <v>0</v>
      </c>
    </row>
    <row r="76" spans="2:19" s="121" customFormat="1" ht="16.5" customHeight="1" x14ac:dyDescent="0.2">
      <c r="B76" s="120"/>
      <c r="C76" s="56" t="s">
        <v>270</v>
      </c>
      <c r="D76" s="56" t="s">
        <v>96</v>
      </c>
      <c r="E76" s="57" t="s">
        <v>401</v>
      </c>
      <c r="F76" s="58" t="s">
        <v>402</v>
      </c>
      <c r="G76" s="59" t="s">
        <v>201</v>
      </c>
      <c r="H76" s="60">
        <v>48.07</v>
      </c>
      <c r="I76" s="61">
        <v>183.82</v>
      </c>
      <c r="J76" s="60">
        <v>8836.2000000000007</v>
      </c>
      <c r="K76" s="68">
        <f t="shared" ref="K76" si="8">ROUND(50.5/46.5*S76-S76,2)</f>
        <v>4.3600000000000003</v>
      </c>
      <c r="L76" s="69">
        <f t="shared" si="0"/>
        <v>183.82</v>
      </c>
      <c r="M76" s="273">
        <f t="shared" si="1"/>
        <v>801.45519999999999</v>
      </c>
      <c r="N76" s="71">
        <f t="shared" si="2"/>
        <v>52.43</v>
      </c>
      <c r="O76" s="72">
        <f t="shared" si="3"/>
        <v>183.82</v>
      </c>
      <c r="P76" s="282">
        <f t="shared" si="4"/>
        <v>9637.6826000000001</v>
      </c>
      <c r="S76" s="237">
        <f t="shared" si="5"/>
        <v>50.74</v>
      </c>
    </row>
    <row r="77" spans="2:19" s="121" customFormat="1" ht="16.5" customHeight="1" x14ac:dyDescent="0.2">
      <c r="B77" s="120"/>
      <c r="C77" s="56" t="s">
        <v>273</v>
      </c>
      <c r="D77" s="56" t="s">
        <v>96</v>
      </c>
      <c r="E77" s="57" t="s">
        <v>407</v>
      </c>
      <c r="F77" s="58" t="s">
        <v>408</v>
      </c>
      <c r="G77" s="59" t="s">
        <v>201</v>
      </c>
      <c r="H77" s="60">
        <v>25.58</v>
      </c>
      <c r="I77" s="61">
        <v>257.77999999999997</v>
      </c>
      <c r="J77" s="60">
        <v>6594</v>
      </c>
      <c r="K77" s="68">
        <v>0</v>
      </c>
      <c r="L77" s="69">
        <f t="shared" si="0"/>
        <v>257.77999999999997</v>
      </c>
      <c r="M77" s="273">
        <f t="shared" si="1"/>
        <v>0</v>
      </c>
      <c r="N77" s="71">
        <f t="shared" si="2"/>
        <v>25.58</v>
      </c>
      <c r="O77" s="72">
        <f t="shared" si="3"/>
        <v>257.77999999999997</v>
      </c>
      <c r="P77" s="282">
        <f t="shared" si="4"/>
        <v>6594.0123999999987</v>
      </c>
      <c r="S77" s="237">
        <f t="shared" si="5"/>
        <v>27</v>
      </c>
    </row>
    <row r="78" spans="2:19" s="121" customFormat="1" ht="16.5" customHeight="1" x14ac:dyDescent="0.2">
      <c r="B78" s="120"/>
      <c r="C78" s="56" t="s">
        <v>276</v>
      </c>
      <c r="D78" s="56" t="s">
        <v>96</v>
      </c>
      <c r="E78" s="57" t="s">
        <v>410</v>
      </c>
      <c r="F78" s="58" t="s">
        <v>411</v>
      </c>
      <c r="G78" s="59" t="s">
        <v>201</v>
      </c>
      <c r="H78" s="60">
        <v>22.49</v>
      </c>
      <c r="I78" s="61">
        <v>154.66999999999999</v>
      </c>
      <c r="J78" s="60">
        <v>3478.5</v>
      </c>
      <c r="K78" s="68">
        <f t="shared" ref="K78" si="9">ROUND(50.5/46.5*S78-S78,2)</f>
        <v>2.04</v>
      </c>
      <c r="L78" s="69">
        <f t="shared" si="0"/>
        <v>154.66999999999999</v>
      </c>
      <c r="M78" s="273">
        <f t="shared" si="1"/>
        <v>315.52679999999998</v>
      </c>
      <c r="N78" s="71">
        <f t="shared" si="2"/>
        <v>24.529999999999998</v>
      </c>
      <c r="O78" s="72">
        <f t="shared" si="3"/>
        <v>154.66999999999999</v>
      </c>
      <c r="P78" s="282">
        <f t="shared" si="4"/>
        <v>3794.0550999999991</v>
      </c>
      <c r="S78" s="237">
        <f t="shared" si="5"/>
        <v>23.74</v>
      </c>
    </row>
    <row r="79" spans="2:19" s="170" customFormat="1" ht="22.9" customHeight="1" x14ac:dyDescent="0.2">
      <c r="B79" s="165"/>
      <c r="C79" s="252"/>
      <c r="D79" s="253" t="s">
        <v>4</v>
      </c>
      <c r="E79" s="254" t="s">
        <v>412</v>
      </c>
      <c r="F79" s="254" t="s">
        <v>413</v>
      </c>
      <c r="G79" s="252"/>
      <c r="H79" s="252"/>
      <c r="I79" s="255"/>
      <c r="J79" s="256">
        <f>+SUBTOTAL(9,J80)</f>
        <v>14822</v>
      </c>
      <c r="K79" s="261"/>
      <c r="L79" s="262"/>
      <c r="M79" s="279">
        <f>M80</f>
        <v>1345.5791999999999</v>
      </c>
      <c r="N79" s="280"/>
      <c r="O79" s="262"/>
      <c r="P79" s="279">
        <f>P80</f>
        <v>16167.545999999998</v>
      </c>
      <c r="S79" s="237">
        <f t="shared" si="5"/>
        <v>0</v>
      </c>
    </row>
    <row r="80" spans="2:19" s="121" customFormat="1" ht="16.5" customHeight="1" x14ac:dyDescent="0.2">
      <c r="B80" s="120"/>
      <c r="C80" s="56" t="s">
        <v>279</v>
      </c>
      <c r="D80" s="56" t="s">
        <v>96</v>
      </c>
      <c r="E80" s="57" t="s">
        <v>415</v>
      </c>
      <c r="F80" s="58" t="s">
        <v>416</v>
      </c>
      <c r="G80" s="59" t="s">
        <v>201</v>
      </c>
      <c r="H80" s="60">
        <v>129.54</v>
      </c>
      <c r="I80" s="61">
        <v>114.42</v>
      </c>
      <c r="J80" s="60">
        <v>14822</v>
      </c>
      <c r="K80" s="68">
        <f t="shared" ref="K80" si="10">ROUND(50.5/46.5*S80-S80,2)</f>
        <v>11.76</v>
      </c>
      <c r="L80" s="69">
        <f t="shared" ref="L80" si="11">I80</f>
        <v>114.42</v>
      </c>
      <c r="M80" s="273">
        <f t="shared" ref="M80" si="12">K80*L80</f>
        <v>1345.5791999999999</v>
      </c>
      <c r="N80" s="71">
        <f t="shared" ref="N80" si="13">H80+K80</f>
        <v>141.29999999999998</v>
      </c>
      <c r="O80" s="72">
        <f t="shared" ref="O80" si="14">I80</f>
        <v>114.42</v>
      </c>
      <c r="P80" s="282">
        <f t="shared" ref="P80" si="15">N80*O80</f>
        <v>16167.545999999998</v>
      </c>
      <c r="S80" s="237">
        <f t="shared" ref="S80" si="16">ROUND(46.5/44.05*H80,2)</f>
        <v>136.74</v>
      </c>
    </row>
    <row r="81" spans="2:16" s="121" customFormat="1" ht="6.95" customHeight="1" x14ac:dyDescent="0.2">
      <c r="B81" s="120"/>
      <c r="C81" s="120"/>
      <c r="D81" s="120"/>
      <c r="E81" s="120"/>
      <c r="F81" s="120"/>
      <c r="G81" s="120"/>
      <c r="H81" s="120"/>
      <c r="I81" s="153"/>
      <c r="J81" s="120"/>
    </row>
    <row r="82" spans="2:16" ht="18" customHeight="1" x14ac:dyDescent="0.2">
      <c r="D82" s="42"/>
      <c r="E82" s="43" t="s">
        <v>888</v>
      </c>
      <c r="F82" s="44"/>
      <c r="G82" s="44"/>
      <c r="H82" s="45"/>
      <c r="I82" s="44"/>
      <c r="J82" s="46">
        <f>ROUND(SUBTOTAL(9,J12:J80),2)</f>
        <v>499289.1</v>
      </c>
      <c r="K82" s="49"/>
      <c r="L82" s="46"/>
      <c r="M82" s="281">
        <f>M79+M75+M72+M50+M44+M39+M36+M14</f>
        <v>27664.031199999998</v>
      </c>
      <c r="N82" s="281"/>
      <c r="O82" s="281"/>
      <c r="P82" s="281">
        <f t="shared" ref="P82" si="17">P79+P75+P72+P50+P44+P39+P36+P14</f>
        <v>526953.10829999996</v>
      </c>
    </row>
    <row r="83" spans="2:16" ht="12.75" x14ac:dyDescent="0.2">
      <c r="H83" s="50"/>
      <c r="I83" s="8"/>
      <c r="J83" s="9"/>
    </row>
    <row r="84" spans="2:16" ht="14.25" x14ac:dyDescent="0.2">
      <c r="E84" s="6" t="s">
        <v>849</v>
      </c>
      <c r="F84" s="6"/>
      <c r="G84" s="6" t="str">
        <f>'Rekapitulace stavby'!D58</f>
        <v>Správce stavby : Ing. Jakub Mucha</v>
      </c>
      <c r="H84" s="50"/>
      <c r="I84" s="8"/>
      <c r="K84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80" xr:uid="{00000000-0001-0000-0D00-000000000000}"/>
  <mergeCells count="4">
    <mergeCell ref="R13:R14"/>
    <mergeCell ref="Q13:Q14"/>
    <mergeCell ref="K9:M9"/>
    <mergeCell ref="N9:P9"/>
  </mergeCells>
  <conditionalFormatting sqref="D3:E8 H3:J8 Q9:HI10 D1:J2 D11:HI11 K12:O14 K1:HI8 K15:L80">
    <cfRule type="cellIs" dxfId="495" priority="92" operator="lessThan">
      <formula>0</formula>
    </cfRule>
  </conditionalFormatting>
  <conditionalFormatting sqref="G4">
    <cfRule type="cellIs" dxfId="494" priority="91" operator="lessThan">
      <formula>0</formula>
    </cfRule>
  </conditionalFormatting>
  <conditionalFormatting sqref="G3">
    <cfRule type="cellIs" dxfId="493" priority="90" operator="lessThan">
      <formula>0</formula>
    </cfRule>
  </conditionalFormatting>
  <conditionalFormatting sqref="K12:O14 K15:L80">
    <cfRule type="cellIs" dxfId="492" priority="37" operator="lessThan">
      <formula>0</formula>
    </cfRule>
  </conditionalFormatting>
  <conditionalFormatting sqref="E82:K83 D82:D84 G84:I84 L82:HS84">
    <cfRule type="cellIs" dxfId="491" priority="26" operator="lessThan">
      <formula>0</formula>
    </cfRule>
  </conditionalFormatting>
  <conditionalFormatting sqref="G84:I84 L84:M84">
    <cfRule type="cellIs" dxfId="490" priority="25" operator="lessThan">
      <formula>0</formula>
    </cfRule>
  </conditionalFormatting>
  <conditionalFormatting sqref="G84:I84">
    <cfRule type="cellIs" dxfId="489" priority="24" operator="lessThan">
      <formula>0</formula>
    </cfRule>
  </conditionalFormatting>
  <conditionalFormatting sqref="G84:I84">
    <cfRule type="cellIs" dxfId="488" priority="23" operator="lessThan">
      <formula>0</formula>
    </cfRule>
  </conditionalFormatting>
  <conditionalFormatting sqref="N15:O80">
    <cfRule type="cellIs" dxfId="487" priority="8" operator="lessThan">
      <formula>0</formula>
    </cfRule>
  </conditionalFormatting>
  <conditionalFormatting sqref="N15:O80">
    <cfRule type="cellIs" dxfId="486" priority="7" operator="lessThan">
      <formula>0</formula>
    </cfRule>
  </conditionalFormatting>
  <conditionalFormatting sqref="E9:J10">
    <cfRule type="cellIs" dxfId="485" priority="5" operator="lessThan">
      <formula>0</formula>
    </cfRule>
  </conditionalFormatting>
  <conditionalFormatting sqref="K9:L10 N9:O9">
    <cfRule type="cellIs" dxfId="484" priority="4" operator="lessThan">
      <formula>0</formula>
    </cfRule>
  </conditionalFormatting>
  <conditionalFormatting sqref="M10:P10">
    <cfRule type="cellIs" dxfId="483" priority="3" operator="lessThan">
      <formula>0</formula>
    </cfRule>
  </conditionalFormatting>
  <conditionalFormatting sqref="P14">
    <cfRule type="cellIs" dxfId="482" priority="2" operator="lessThan">
      <formula>0</formula>
    </cfRule>
  </conditionalFormatting>
  <conditionalFormatting sqref="P14">
    <cfRule type="cellIs" dxfId="481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3" fitToHeight="0" orientation="landscape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1:S86"/>
  <sheetViews>
    <sheetView showGridLines="0" view="pageBreakPreview" topLeftCell="A61" zoomScale="60" zoomScaleNormal="85" workbookViewId="0">
      <selection activeCell="J79" sqref="J79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9.5" style="8" bestFit="1" customWidth="1"/>
    <col min="12" max="12" width="18.83203125" style="8" bestFit="1" customWidth="1"/>
    <col min="13" max="13" width="18.5" style="8" bestFit="1" customWidth="1"/>
    <col min="14" max="14" width="9.5" style="8" bestFit="1" customWidth="1"/>
    <col min="15" max="15" width="18.83203125" style="8" bestFit="1" customWidth="1"/>
    <col min="16" max="16" width="21.1640625" style="8" bestFit="1" customWidth="1"/>
    <col min="17" max="17" width="26.33203125" style="8" hidden="1" customWidth="1"/>
    <col min="18" max="18" width="0" style="8" hidden="1" customWidth="1"/>
    <col min="19" max="19" width="20.1640625" style="8" customWidth="1"/>
    <col min="20" max="16384" width="9.33203125" style="8"/>
  </cols>
  <sheetData>
    <row r="1" spans="2:19" ht="18.95" customHeight="1" x14ac:dyDescent="0.2">
      <c r="F1" s="11"/>
      <c r="G1" s="89"/>
      <c r="H1" s="88"/>
      <c r="I1" s="8"/>
      <c r="J1" s="9"/>
    </row>
    <row r="2" spans="2:19" s="88" customFormat="1" ht="18" customHeight="1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19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19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19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19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19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19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B2 - Stoka B2</v>
      </c>
      <c r="M8" s="150"/>
      <c r="O8" s="151"/>
    </row>
    <row r="9" spans="2:19" s="15" customFormat="1" ht="20.100000000000001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</row>
    <row r="10" spans="2:19" s="15" customFormat="1" ht="24" customHeight="1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189" t="s">
        <v>1176</v>
      </c>
    </row>
    <row r="11" spans="2:19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19" s="121" customFormat="1" ht="22.9" customHeight="1" x14ac:dyDescent="0.25">
      <c r="B12" s="120"/>
      <c r="C12" s="152" t="s">
        <v>475</v>
      </c>
      <c r="D12" s="120"/>
      <c r="E12" s="120"/>
      <c r="F12" s="120"/>
      <c r="G12" s="120"/>
      <c r="H12" s="120"/>
      <c r="I12" s="153"/>
      <c r="J12" s="154">
        <f>+SUBTOTAL(9,J13:J82)</f>
        <v>1267162.7000000004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19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+SUBTOTAL(9,J14:J82)</f>
        <v>1267162.7000000004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  <c r="Q13" s="345" t="s">
        <v>1185</v>
      </c>
    </row>
    <row r="14" spans="2:19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+SUBTOTAL(9,J15:J35)</f>
        <v>445447.9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SUM(M15:M35)</f>
        <v>24451.783599999995</v>
      </c>
      <c r="N14" s="278" t="str">
        <f>IF(ISBLANK(H14),"",H14-K14)</f>
        <v/>
      </c>
      <c r="O14" s="272" t="str">
        <f>IF(ISBLANK(H14),"",J14-L14)</f>
        <v/>
      </c>
      <c r="P14" s="272">
        <f>SUM(P15:P35)</f>
        <v>469899.63090000005</v>
      </c>
      <c r="Q14" s="345"/>
      <c r="S14" s="218" t="s">
        <v>1216</v>
      </c>
    </row>
    <row r="15" spans="2:19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126.32</v>
      </c>
      <c r="I15" s="61">
        <v>40.770000000000003</v>
      </c>
      <c r="J15" s="60">
        <v>5150.1000000000004</v>
      </c>
      <c r="K15" s="68">
        <f>ROUND(121.2/115*S15-S15,2)</f>
        <v>7.36</v>
      </c>
      <c r="L15" s="69">
        <f>I15</f>
        <v>40.770000000000003</v>
      </c>
      <c r="M15" s="273">
        <f t="shared" ref="M15:M78" si="0">K15*L15</f>
        <v>300.06720000000001</v>
      </c>
      <c r="N15" s="71">
        <f>H15+K15</f>
        <v>133.68</v>
      </c>
      <c r="O15" s="72">
        <f>I15</f>
        <v>40.770000000000003</v>
      </c>
      <c r="P15" s="274">
        <f>N15*O15</f>
        <v>5450.133600000001</v>
      </c>
      <c r="Q15" s="121" t="s">
        <v>1190</v>
      </c>
      <c r="R15" s="194"/>
      <c r="S15" s="237">
        <f>ROUND(115/106.42*H15,2)</f>
        <v>136.5</v>
      </c>
    </row>
    <row r="16" spans="2:19" s="121" customFormat="1" ht="16.5" customHeight="1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241.16</v>
      </c>
      <c r="I16" s="61">
        <v>55.24</v>
      </c>
      <c r="J16" s="60">
        <v>13321.7</v>
      </c>
      <c r="K16" s="68">
        <v>0</v>
      </c>
      <c r="L16" s="69">
        <f t="shared" ref="L16:L79" si="1">I16</f>
        <v>55.24</v>
      </c>
      <c r="M16" s="273">
        <f t="shared" si="0"/>
        <v>0</v>
      </c>
      <c r="N16" s="71">
        <f t="shared" ref="N16:N79" si="2">H16+K16</f>
        <v>241.16</v>
      </c>
      <c r="O16" s="72">
        <f t="shared" ref="O16:O79" si="3">I16</f>
        <v>55.24</v>
      </c>
      <c r="P16" s="274">
        <f t="shared" ref="P16:P79" si="4">N16*O16</f>
        <v>13321.678400000001</v>
      </c>
      <c r="S16" s="237">
        <f t="shared" ref="S16:S79" si="5">ROUND(115/106.42*H16,2)</f>
        <v>260.60000000000002</v>
      </c>
    </row>
    <row r="17" spans="2:19" s="121" customFormat="1" ht="16.5" customHeight="1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126.32</v>
      </c>
      <c r="I17" s="61">
        <v>98.64</v>
      </c>
      <c r="J17" s="60">
        <v>12460.2</v>
      </c>
      <c r="K17" s="68">
        <v>0</v>
      </c>
      <c r="L17" s="69">
        <f t="shared" si="1"/>
        <v>98.64</v>
      </c>
      <c r="M17" s="273">
        <f t="shared" si="0"/>
        <v>0</v>
      </c>
      <c r="N17" s="71">
        <f t="shared" si="2"/>
        <v>126.32</v>
      </c>
      <c r="O17" s="72">
        <f t="shared" si="3"/>
        <v>98.64</v>
      </c>
      <c r="P17" s="274">
        <f t="shared" si="4"/>
        <v>12460.2048</v>
      </c>
      <c r="S17" s="237">
        <f t="shared" si="5"/>
        <v>136.5</v>
      </c>
    </row>
    <row r="18" spans="2:19" s="121" customFormat="1" ht="16.5" customHeight="1" x14ac:dyDescent="0.2">
      <c r="B18" s="120"/>
      <c r="C18" s="56" t="s">
        <v>105</v>
      </c>
      <c r="D18" s="56" t="s">
        <v>96</v>
      </c>
      <c r="E18" s="57" t="s">
        <v>142</v>
      </c>
      <c r="F18" s="58" t="s">
        <v>143</v>
      </c>
      <c r="G18" s="59" t="s">
        <v>133</v>
      </c>
      <c r="H18" s="60">
        <v>1.1000000000000001</v>
      </c>
      <c r="I18" s="61">
        <v>170.98</v>
      </c>
      <c r="J18" s="60">
        <v>188.1</v>
      </c>
      <c r="K18" s="68">
        <f>ROUND(121.2/115*S18-S18,2)</f>
        <v>0.06</v>
      </c>
      <c r="L18" s="69">
        <f t="shared" si="1"/>
        <v>170.98</v>
      </c>
      <c r="M18" s="273">
        <f t="shared" si="0"/>
        <v>10.258799999999999</v>
      </c>
      <c r="N18" s="71">
        <f t="shared" si="2"/>
        <v>1.1600000000000001</v>
      </c>
      <c r="O18" s="72">
        <f t="shared" si="3"/>
        <v>170.98</v>
      </c>
      <c r="P18" s="274">
        <f t="shared" si="4"/>
        <v>198.33680000000001</v>
      </c>
      <c r="R18" s="194"/>
      <c r="S18" s="237">
        <f t="shared" si="5"/>
        <v>1.19</v>
      </c>
    </row>
    <row r="19" spans="2:19" s="121" customFormat="1" ht="16.5" customHeight="1" x14ac:dyDescent="0.2">
      <c r="B19" s="120"/>
      <c r="C19" s="56" t="s">
        <v>109</v>
      </c>
      <c r="D19" s="56" t="s">
        <v>96</v>
      </c>
      <c r="E19" s="57" t="s">
        <v>145</v>
      </c>
      <c r="F19" s="58" t="s">
        <v>146</v>
      </c>
      <c r="G19" s="59" t="s">
        <v>133</v>
      </c>
      <c r="H19" s="60">
        <v>3.3</v>
      </c>
      <c r="I19" s="61">
        <v>147.30000000000001</v>
      </c>
      <c r="J19" s="60">
        <v>486.1</v>
      </c>
      <c r="K19" s="68">
        <f t="shared" ref="K19:K38" si="6">ROUND(121.2/115*S19-S19,2)</f>
        <v>0.19</v>
      </c>
      <c r="L19" s="69">
        <f t="shared" si="1"/>
        <v>147.30000000000001</v>
      </c>
      <c r="M19" s="273">
        <f t="shared" si="0"/>
        <v>27.987000000000002</v>
      </c>
      <c r="N19" s="71">
        <f t="shared" si="2"/>
        <v>3.4899999999999998</v>
      </c>
      <c r="O19" s="72">
        <f t="shared" si="3"/>
        <v>147.30000000000001</v>
      </c>
      <c r="P19" s="274">
        <f t="shared" si="4"/>
        <v>514.077</v>
      </c>
      <c r="R19" s="194"/>
      <c r="S19" s="237">
        <f t="shared" si="5"/>
        <v>3.57</v>
      </c>
    </row>
    <row r="20" spans="2:19" s="121" customFormat="1" ht="16.5" customHeight="1" x14ac:dyDescent="0.2">
      <c r="B20" s="120"/>
      <c r="C20" s="56" t="s">
        <v>112</v>
      </c>
      <c r="D20" s="56" t="s">
        <v>96</v>
      </c>
      <c r="E20" s="57" t="s">
        <v>155</v>
      </c>
      <c r="F20" s="58" t="s">
        <v>156</v>
      </c>
      <c r="G20" s="59" t="s">
        <v>150</v>
      </c>
      <c r="H20" s="60">
        <v>3.73</v>
      </c>
      <c r="I20" s="61">
        <v>257.77999999999997</v>
      </c>
      <c r="J20" s="60">
        <v>961.5</v>
      </c>
      <c r="K20" s="68">
        <f t="shared" si="6"/>
        <v>0.22</v>
      </c>
      <c r="L20" s="69">
        <f t="shared" si="1"/>
        <v>257.77999999999997</v>
      </c>
      <c r="M20" s="273">
        <f t="shared" si="0"/>
        <v>56.711599999999997</v>
      </c>
      <c r="N20" s="71">
        <f t="shared" si="2"/>
        <v>3.95</v>
      </c>
      <c r="O20" s="72">
        <f t="shared" si="3"/>
        <v>257.77999999999997</v>
      </c>
      <c r="P20" s="274">
        <f t="shared" si="4"/>
        <v>1018.231</v>
      </c>
      <c r="R20" s="194"/>
      <c r="S20" s="237">
        <f t="shared" si="5"/>
        <v>4.03</v>
      </c>
    </row>
    <row r="21" spans="2:19" s="121" customFormat="1" ht="16.5" customHeight="1" x14ac:dyDescent="0.2">
      <c r="B21" s="120"/>
      <c r="C21" s="56" t="s">
        <v>115</v>
      </c>
      <c r="D21" s="56" t="s">
        <v>96</v>
      </c>
      <c r="E21" s="57" t="s">
        <v>157</v>
      </c>
      <c r="F21" s="58" t="s">
        <v>158</v>
      </c>
      <c r="G21" s="59" t="s">
        <v>150</v>
      </c>
      <c r="H21" s="60">
        <v>143.38999999999999</v>
      </c>
      <c r="I21" s="61">
        <v>257.77999999999997</v>
      </c>
      <c r="J21" s="60">
        <v>36963.1</v>
      </c>
      <c r="K21" s="68">
        <f t="shared" si="6"/>
        <v>8.35</v>
      </c>
      <c r="L21" s="69">
        <f t="shared" si="1"/>
        <v>257.77999999999997</v>
      </c>
      <c r="M21" s="273">
        <f t="shared" si="0"/>
        <v>2152.4629999999997</v>
      </c>
      <c r="N21" s="71">
        <f t="shared" si="2"/>
        <v>151.73999999999998</v>
      </c>
      <c r="O21" s="72">
        <f t="shared" si="3"/>
        <v>257.77999999999997</v>
      </c>
      <c r="P21" s="274">
        <f t="shared" si="4"/>
        <v>39115.537199999992</v>
      </c>
      <c r="R21" s="194"/>
      <c r="S21" s="237">
        <f t="shared" si="5"/>
        <v>154.94999999999999</v>
      </c>
    </row>
    <row r="22" spans="2:19" s="121" customFormat="1" ht="16.5" customHeight="1" x14ac:dyDescent="0.2">
      <c r="B22" s="120"/>
      <c r="C22" s="56" t="s">
        <v>118</v>
      </c>
      <c r="D22" s="56" t="s">
        <v>96</v>
      </c>
      <c r="E22" s="57" t="s">
        <v>160</v>
      </c>
      <c r="F22" s="58" t="s">
        <v>161</v>
      </c>
      <c r="G22" s="59" t="s">
        <v>150</v>
      </c>
      <c r="H22" s="60">
        <v>43.02</v>
      </c>
      <c r="I22" s="61">
        <v>13.15</v>
      </c>
      <c r="J22" s="60">
        <v>565.70000000000005</v>
      </c>
      <c r="K22" s="68">
        <f t="shared" si="6"/>
        <v>2.5099999999999998</v>
      </c>
      <c r="L22" s="69">
        <f t="shared" si="1"/>
        <v>13.15</v>
      </c>
      <c r="M22" s="273">
        <f t="shared" si="0"/>
        <v>33.006499999999996</v>
      </c>
      <c r="N22" s="71">
        <f t="shared" si="2"/>
        <v>45.53</v>
      </c>
      <c r="O22" s="72">
        <f t="shared" si="3"/>
        <v>13.15</v>
      </c>
      <c r="P22" s="274">
        <f t="shared" si="4"/>
        <v>598.71950000000004</v>
      </c>
      <c r="R22" s="194"/>
      <c r="S22" s="237">
        <f t="shared" si="5"/>
        <v>46.49</v>
      </c>
    </row>
    <row r="23" spans="2:19" s="121" customFormat="1" ht="16.5" customHeight="1" x14ac:dyDescent="0.2">
      <c r="B23" s="120"/>
      <c r="C23" s="56" t="s">
        <v>121</v>
      </c>
      <c r="D23" s="56" t="s">
        <v>96</v>
      </c>
      <c r="E23" s="57" t="s">
        <v>163</v>
      </c>
      <c r="F23" s="58" t="s">
        <v>164</v>
      </c>
      <c r="G23" s="59" t="s">
        <v>150</v>
      </c>
      <c r="H23" s="60">
        <v>112.25</v>
      </c>
      <c r="I23" s="61">
        <v>315.64999999999998</v>
      </c>
      <c r="J23" s="60">
        <v>35431.699999999997</v>
      </c>
      <c r="K23" s="68">
        <f t="shared" si="6"/>
        <v>6.54</v>
      </c>
      <c r="L23" s="69">
        <f t="shared" si="1"/>
        <v>315.64999999999998</v>
      </c>
      <c r="M23" s="273">
        <f t="shared" si="0"/>
        <v>2064.3509999999997</v>
      </c>
      <c r="N23" s="71">
        <f t="shared" si="2"/>
        <v>118.79</v>
      </c>
      <c r="O23" s="72">
        <f t="shared" si="3"/>
        <v>315.64999999999998</v>
      </c>
      <c r="P23" s="274">
        <f t="shared" si="4"/>
        <v>37496.063499999997</v>
      </c>
      <c r="R23" s="194"/>
      <c r="S23" s="237">
        <f t="shared" si="5"/>
        <v>121.3</v>
      </c>
    </row>
    <row r="24" spans="2:19" s="121" customFormat="1" ht="16.5" customHeight="1" x14ac:dyDescent="0.2">
      <c r="B24" s="120"/>
      <c r="C24" s="56" t="s">
        <v>124</v>
      </c>
      <c r="D24" s="56" t="s">
        <v>96</v>
      </c>
      <c r="E24" s="57" t="s">
        <v>166</v>
      </c>
      <c r="F24" s="58" t="s">
        <v>167</v>
      </c>
      <c r="G24" s="59" t="s">
        <v>150</v>
      </c>
      <c r="H24" s="60">
        <v>33.68</v>
      </c>
      <c r="I24" s="61">
        <v>15.78</v>
      </c>
      <c r="J24" s="60">
        <v>531.5</v>
      </c>
      <c r="K24" s="68">
        <f t="shared" si="6"/>
        <v>1.96</v>
      </c>
      <c r="L24" s="69">
        <f t="shared" si="1"/>
        <v>15.78</v>
      </c>
      <c r="M24" s="273">
        <f t="shared" si="0"/>
        <v>30.928799999999999</v>
      </c>
      <c r="N24" s="71">
        <f t="shared" si="2"/>
        <v>35.64</v>
      </c>
      <c r="O24" s="72">
        <f t="shared" si="3"/>
        <v>15.78</v>
      </c>
      <c r="P24" s="274">
        <f t="shared" si="4"/>
        <v>562.39919999999995</v>
      </c>
      <c r="R24" s="194"/>
      <c r="S24" s="237">
        <f t="shared" si="5"/>
        <v>36.4</v>
      </c>
    </row>
    <row r="25" spans="2:19" s="121" customFormat="1" ht="16.5" customHeight="1" x14ac:dyDescent="0.2">
      <c r="B25" s="120"/>
      <c r="C25" s="56" t="s">
        <v>127</v>
      </c>
      <c r="D25" s="56" t="s">
        <v>96</v>
      </c>
      <c r="E25" s="57" t="s">
        <v>172</v>
      </c>
      <c r="F25" s="58" t="s">
        <v>173</v>
      </c>
      <c r="G25" s="59" t="s">
        <v>150</v>
      </c>
      <c r="H25" s="60">
        <v>29.99</v>
      </c>
      <c r="I25" s="61">
        <v>1116.6199999999999</v>
      </c>
      <c r="J25" s="60">
        <v>33487.4</v>
      </c>
      <c r="K25" s="68">
        <f t="shared" si="6"/>
        <v>1.75</v>
      </c>
      <c r="L25" s="69">
        <f t="shared" si="1"/>
        <v>1116.6199999999999</v>
      </c>
      <c r="M25" s="273">
        <f t="shared" si="0"/>
        <v>1954.0849999999998</v>
      </c>
      <c r="N25" s="71">
        <f t="shared" si="2"/>
        <v>31.74</v>
      </c>
      <c r="O25" s="72">
        <f t="shared" si="3"/>
        <v>1116.6199999999999</v>
      </c>
      <c r="P25" s="274">
        <f t="shared" si="4"/>
        <v>35441.518799999998</v>
      </c>
      <c r="R25" s="194"/>
      <c r="S25" s="237">
        <f t="shared" si="5"/>
        <v>32.409999999999997</v>
      </c>
    </row>
    <row r="26" spans="2:19" s="121" customFormat="1" ht="16.5" customHeight="1" x14ac:dyDescent="0.2">
      <c r="B26" s="120"/>
      <c r="C26" s="56" t="s">
        <v>130</v>
      </c>
      <c r="D26" s="56" t="s">
        <v>96</v>
      </c>
      <c r="E26" s="57" t="s">
        <v>175</v>
      </c>
      <c r="F26" s="58" t="s">
        <v>176</v>
      </c>
      <c r="G26" s="59" t="s">
        <v>108</v>
      </c>
      <c r="H26" s="60">
        <v>535.77</v>
      </c>
      <c r="I26" s="61">
        <v>99.96</v>
      </c>
      <c r="J26" s="60">
        <v>53555.6</v>
      </c>
      <c r="K26" s="68">
        <f t="shared" si="6"/>
        <v>31.21</v>
      </c>
      <c r="L26" s="69">
        <f t="shared" si="1"/>
        <v>99.96</v>
      </c>
      <c r="M26" s="273">
        <f t="shared" si="0"/>
        <v>3119.7516000000001</v>
      </c>
      <c r="N26" s="71">
        <f t="shared" si="2"/>
        <v>566.98</v>
      </c>
      <c r="O26" s="72">
        <f t="shared" si="3"/>
        <v>99.96</v>
      </c>
      <c r="P26" s="274">
        <f t="shared" si="4"/>
        <v>56675.320800000001</v>
      </c>
      <c r="R26" s="194"/>
      <c r="S26" s="237">
        <f t="shared" si="5"/>
        <v>578.97</v>
      </c>
    </row>
    <row r="27" spans="2:19" s="121" customFormat="1" ht="16.5" customHeight="1" x14ac:dyDescent="0.2">
      <c r="B27" s="120"/>
      <c r="C27" s="56" t="s">
        <v>134</v>
      </c>
      <c r="D27" s="56" t="s">
        <v>96</v>
      </c>
      <c r="E27" s="57" t="s">
        <v>181</v>
      </c>
      <c r="F27" s="58" t="s">
        <v>182</v>
      </c>
      <c r="G27" s="59" t="s">
        <v>108</v>
      </c>
      <c r="H27" s="60">
        <v>535.77</v>
      </c>
      <c r="I27" s="61">
        <v>149.94</v>
      </c>
      <c r="J27" s="60">
        <v>80333.399999999994</v>
      </c>
      <c r="K27" s="68">
        <f t="shared" si="6"/>
        <v>31.21</v>
      </c>
      <c r="L27" s="69">
        <f t="shared" si="1"/>
        <v>149.94</v>
      </c>
      <c r="M27" s="273">
        <f t="shared" si="0"/>
        <v>4679.6274000000003</v>
      </c>
      <c r="N27" s="71">
        <f t="shared" si="2"/>
        <v>566.98</v>
      </c>
      <c r="O27" s="72">
        <f t="shared" si="3"/>
        <v>149.94</v>
      </c>
      <c r="P27" s="274">
        <f t="shared" si="4"/>
        <v>85012.981199999995</v>
      </c>
      <c r="R27" s="194"/>
      <c r="S27" s="237">
        <f t="shared" si="5"/>
        <v>578.97</v>
      </c>
    </row>
    <row r="28" spans="2:19" s="121" customFormat="1" ht="16.5" customHeight="1" x14ac:dyDescent="0.2">
      <c r="B28" s="120"/>
      <c r="C28" s="56" t="s">
        <v>2</v>
      </c>
      <c r="D28" s="56" t="s">
        <v>96</v>
      </c>
      <c r="E28" s="57" t="s">
        <v>187</v>
      </c>
      <c r="F28" s="58" t="s">
        <v>188</v>
      </c>
      <c r="G28" s="59" t="s">
        <v>150</v>
      </c>
      <c r="H28" s="60">
        <v>462.53</v>
      </c>
      <c r="I28" s="61">
        <v>97.33</v>
      </c>
      <c r="J28" s="60">
        <v>45018</v>
      </c>
      <c r="K28" s="68">
        <f t="shared" si="6"/>
        <v>26.95</v>
      </c>
      <c r="L28" s="69">
        <f t="shared" si="1"/>
        <v>97.33</v>
      </c>
      <c r="M28" s="273">
        <f t="shared" si="0"/>
        <v>2623.0434999999998</v>
      </c>
      <c r="N28" s="71">
        <f t="shared" si="2"/>
        <v>489.47999999999996</v>
      </c>
      <c r="O28" s="72">
        <f t="shared" si="3"/>
        <v>97.33</v>
      </c>
      <c r="P28" s="274">
        <f t="shared" si="4"/>
        <v>47641.088399999993</v>
      </c>
      <c r="R28" s="194"/>
      <c r="S28" s="237">
        <f t="shared" si="5"/>
        <v>499.82</v>
      </c>
    </row>
    <row r="29" spans="2:19" s="121" customFormat="1" ht="16.5" customHeight="1" x14ac:dyDescent="0.2">
      <c r="B29" s="120"/>
      <c r="C29" s="56" t="s">
        <v>141</v>
      </c>
      <c r="D29" s="56" t="s">
        <v>96</v>
      </c>
      <c r="E29" s="57" t="s">
        <v>190</v>
      </c>
      <c r="F29" s="58" t="s">
        <v>191</v>
      </c>
      <c r="G29" s="59" t="s">
        <v>150</v>
      </c>
      <c r="H29" s="60">
        <v>107.95</v>
      </c>
      <c r="I29" s="61">
        <v>247.39</v>
      </c>
      <c r="J29" s="60">
        <v>26705.8</v>
      </c>
      <c r="K29" s="68">
        <f t="shared" si="6"/>
        <v>6.29</v>
      </c>
      <c r="L29" s="69">
        <f t="shared" si="1"/>
        <v>247.39</v>
      </c>
      <c r="M29" s="273">
        <f t="shared" si="0"/>
        <v>1556.0830999999998</v>
      </c>
      <c r="N29" s="71">
        <f t="shared" si="2"/>
        <v>114.24000000000001</v>
      </c>
      <c r="O29" s="72">
        <f t="shared" si="3"/>
        <v>247.39</v>
      </c>
      <c r="P29" s="274">
        <f t="shared" si="4"/>
        <v>28261.833600000002</v>
      </c>
      <c r="S29" s="237">
        <f t="shared" si="5"/>
        <v>116.65</v>
      </c>
    </row>
    <row r="30" spans="2:19" s="121" customFormat="1" ht="16.5" customHeight="1" x14ac:dyDescent="0.2">
      <c r="B30" s="120"/>
      <c r="C30" s="56" t="s">
        <v>144</v>
      </c>
      <c r="D30" s="56" t="s">
        <v>96</v>
      </c>
      <c r="E30" s="57" t="s">
        <v>193</v>
      </c>
      <c r="F30" s="58" t="s">
        <v>194</v>
      </c>
      <c r="G30" s="59" t="s">
        <v>150</v>
      </c>
      <c r="H30" s="60">
        <v>107.95</v>
      </c>
      <c r="I30" s="61">
        <v>44.72</v>
      </c>
      <c r="J30" s="60">
        <v>4827.5</v>
      </c>
      <c r="K30" s="68">
        <f t="shared" si="6"/>
        <v>6.29</v>
      </c>
      <c r="L30" s="69">
        <f t="shared" si="1"/>
        <v>44.72</v>
      </c>
      <c r="M30" s="273">
        <f t="shared" si="0"/>
        <v>281.28879999999998</v>
      </c>
      <c r="N30" s="71">
        <f t="shared" si="2"/>
        <v>114.24000000000001</v>
      </c>
      <c r="O30" s="72">
        <f t="shared" si="3"/>
        <v>44.72</v>
      </c>
      <c r="P30" s="274">
        <f t="shared" si="4"/>
        <v>5108.8128000000006</v>
      </c>
      <c r="S30" s="237">
        <f t="shared" si="5"/>
        <v>116.65</v>
      </c>
    </row>
    <row r="31" spans="2:19" s="121" customFormat="1" ht="16.5" customHeight="1" x14ac:dyDescent="0.2">
      <c r="B31" s="120"/>
      <c r="C31" s="56" t="s">
        <v>147</v>
      </c>
      <c r="D31" s="56" t="s">
        <v>96</v>
      </c>
      <c r="E31" s="57" t="s">
        <v>196</v>
      </c>
      <c r="F31" s="58" t="s">
        <v>197</v>
      </c>
      <c r="G31" s="59" t="s">
        <v>150</v>
      </c>
      <c r="H31" s="60">
        <v>107.95</v>
      </c>
      <c r="I31" s="61">
        <v>11.84</v>
      </c>
      <c r="J31" s="60">
        <v>1278.0999999999999</v>
      </c>
      <c r="K31" s="68">
        <f t="shared" si="6"/>
        <v>6.29</v>
      </c>
      <c r="L31" s="69">
        <f t="shared" si="1"/>
        <v>11.84</v>
      </c>
      <c r="M31" s="273">
        <f t="shared" si="0"/>
        <v>74.473600000000005</v>
      </c>
      <c r="N31" s="71">
        <f t="shared" si="2"/>
        <v>114.24000000000001</v>
      </c>
      <c r="O31" s="72">
        <f t="shared" si="3"/>
        <v>11.84</v>
      </c>
      <c r="P31" s="274">
        <f t="shared" si="4"/>
        <v>1352.6016000000002</v>
      </c>
      <c r="S31" s="237">
        <f t="shared" si="5"/>
        <v>116.65</v>
      </c>
    </row>
    <row r="32" spans="2:19" s="121" customFormat="1" ht="16.5" customHeight="1" x14ac:dyDescent="0.2">
      <c r="B32" s="120"/>
      <c r="C32" s="56" t="s">
        <v>151</v>
      </c>
      <c r="D32" s="56" t="s">
        <v>96</v>
      </c>
      <c r="E32" s="57" t="s">
        <v>199</v>
      </c>
      <c r="F32" s="58" t="s">
        <v>200</v>
      </c>
      <c r="G32" s="59" t="s">
        <v>201</v>
      </c>
      <c r="H32" s="60">
        <v>215.9</v>
      </c>
      <c r="I32" s="61">
        <v>116</v>
      </c>
      <c r="J32" s="60">
        <v>25044.400000000001</v>
      </c>
      <c r="K32" s="68">
        <f t="shared" si="6"/>
        <v>12.58</v>
      </c>
      <c r="L32" s="69">
        <f t="shared" si="1"/>
        <v>116</v>
      </c>
      <c r="M32" s="273">
        <f t="shared" si="0"/>
        <v>1459.28</v>
      </c>
      <c r="N32" s="71">
        <f t="shared" si="2"/>
        <v>228.48000000000002</v>
      </c>
      <c r="O32" s="72">
        <f t="shared" si="3"/>
        <v>116</v>
      </c>
      <c r="P32" s="274">
        <f t="shared" si="4"/>
        <v>26503.68</v>
      </c>
      <c r="S32" s="237">
        <f t="shared" si="5"/>
        <v>233.31</v>
      </c>
    </row>
    <row r="33" spans="2:19" s="121" customFormat="1" ht="16.5" customHeight="1" x14ac:dyDescent="0.2">
      <c r="B33" s="120"/>
      <c r="C33" s="56" t="s">
        <v>154</v>
      </c>
      <c r="D33" s="56" t="s">
        <v>96</v>
      </c>
      <c r="E33" s="57" t="s">
        <v>203</v>
      </c>
      <c r="F33" s="58" t="s">
        <v>204</v>
      </c>
      <c r="G33" s="59" t="s">
        <v>150</v>
      </c>
      <c r="H33" s="60">
        <v>176.9</v>
      </c>
      <c r="I33" s="61">
        <v>143.36000000000001</v>
      </c>
      <c r="J33" s="60">
        <v>25360.400000000001</v>
      </c>
      <c r="K33" s="68">
        <f t="shared" si="6"/>
        <v>10.31</v>
      </c>
      <c r="L33" s="69">
        <f t="shared" si="1"/>
        <v>143.36000000000001</v>
      </c>
      <c r="M33" s="273">
        <f t="shared" si="0"/>
        <v>1478.0416000000002</v>
      </c>
      <c r="N33" s="71">
        <f t="shared" si="2"/>
        <v>187.21</v>
      </c>
      <c r="O33" s="72">
        <f t="shared" si="3"/>
        <v>143.36000000000001</v>
      </c>
      <c r="P33" s="274">
        <f t="shared" si="4"/>
        <v>26838.425600000002</v>
      </c>
      <c r="R33" s="194"/>
      <c r="S33" s="237">
        <f t="shared" si="5"/>
        <v>191.16</v>
      </c>
    </row>
    <row r="34" spans="2:19" s="121" customFormat="1" ht="16.5" customHeight="1" x14ac:dyDescent="0.2">
      <c r="B34" s="120"/>
      <c r="C34" s="56" t="s">
        <v>1</v>
      </c>
      <c r="D34" s="56" t="s">
        <v>96</v>
      </c>
      <c r="E34" s="57" t="s">
        <v>206</v>
      </c>
      <c r="F34" s="58" t="s">
        <v>207</v>
      </c>
      <c r="G34" s="59" t="s">
        <v>150</v>
      </c>
      <c r="H34" s="60">
        <v>65.959999999999994</v>
      </c>
      <c r="I34" s="61">
        <v>318.27999999999997</v>
      </c>
      <c r="J34" s="60">
        <v>20993.7</v>
      </c>
      <c r="K34" s="68">
        <f t="shared" si="6"/>
        <v>3.84</v>
      </c>
      <c r="L34" s="69">
        <f t="shared" si="1"/>
        <v>318.27999999999997</v>
      </c>
      <c r="M34" s="273">
        <f t="shared" si="0"/>
        <v>1222.1951999999999</v>
      </c>
      <c r="N34" s="71">
        <f t="shared" si="2"/>
        <v>69.8</v>
      </c>
      <c r="O34" s="72">
        <f t="shared" si="3"/>
        <v>318.27999999999997</v>
      </c>
      <c r="P34" s="274">
        <f t="shared" si="4"/>
        <v>22215.943999999996</v>
      </c>
      <c r="R34" s="194"/>
      <c r="S34" s="237">
        <f t="shared" si="5"/>
        <v>71.28</v>
      </c>
    </row>
    <row r="35" spans="2:19" s="121" customFormat="1" ht="16.5" customHeight="1" x14ac:dyDescent="0.2">
      <c r="B35" s="120"/>
      <c r="C35" s="73" t="s">
        <v>159</v>
      </c>
      <c r="D35" s="73" t="s">
        <v>209</v>
      </c>
      <c r="E35" s="74" t="s">
        <v>210</v>
      </c>
      <c r="F35" s="75" t="s">
        <v>211</v>
      </c>
      <c r="G35" s="76" t="s">
        <v>201</v>
      </c>
      <c r="H35" s="77">
        <v>131.91999999999999</v>
      </c>
      <c r="I35" s="78">
        <v>172.71</v>
      </c>
      <c r="J35" s="77">
        <v>22783.9</v>
      </c>
      <c r="K35" s="68">
        <f t="shared" si="6"/>
        <v>7.69</v>
      </c>
      <c r="L35" s="69">
        <f t="shared" si="1"/>
        <v>172.71</v>
      </c>
      <c r="M35" s="273">
        <f t="shared" si="0"/>
        <v>1328.1399000000001</v>
      </c>
      <c r="N35" s="71">
        <f t="shared" si="2"/>
        <v>139.60999999999999</v>
      </c>
      <c r="O35" s="72">
        <f t="shared" si="3"/>
        <v>172.71</v>
      </c>
      <c r="P35" s="274">
        <f t="shared" si="4"/>
        <v>24112.043099999999</v>
      </c>
      <c r="R35" s="194"/>
      <c r="S35" s="237">
        <f t="shared" si="5"/>
        <v>142.56</v>
      </c>
    </row>
    <row r="36" spans="2:19" s="170" customFormat="1" ht="22.9" customHeight="1" x14ac:dyDescent="0.2">
      <c r="B36" s="165"/>
      <c r="C36" s="252"/>
      <c r="D36" s="253" t="s">
        <v>4</v>
      </c>
      <c r="E36" s="254" t="s">
        <v>13</v>
      </c>
      <c r="F36" s="254" t="s">
        <v>222</v>
      </c>
      <c r="G36" s="252"/>
      <c r="H36" s="252"/>
      <c r="I36" s="255"/>
      <c r="J36" s="256">
        <f>+SUBTOTAL(9,J37:J38)</f>
        <v>4199.3</v>
      </c>
      <c r="K36" s="261"/>
      <c r="L36" s="262"/>
      <c r="M36" s="279">
        <f>SUM(M37:M38)</f>
        <v>244.65200000000002</v>
      </c>
      <c r="N36" s="280"/>
      <c r="O36" s="262"/>
      <c r="P36" s="279">
        <f>SUM(P37:P38)</f>
        <v>4443.985200000001</v>
      </c>
      <c r="S36" s="237">
        <f t="shared" si="5"/>
        <v>0</v>
      </c>
    </row>
    <row r="37" spans="2:19" s="121" customFormat="1" ht="16.5" customHeight="1" x14ac:dyDescent="0.2">
      <c r="B37" s="120"/>
      <c r="C37" s="56" t="s">
        <v>162</v>
      </c>
      <c r="D37" s="56" t="s">
        <v>96</v>
      </c>
      <c r="E37" s="57" t="s">
        <v>224</v>
      </c>
      <c r="F37" s="58" t="s">
        <v>225</v>
      </c>
      <c r="G37" s="59" t="s">
        <v>133</v>
      </c>
      <c r="H37" s="60">
        <v>106.42</v>
      </c>
      <c r="I37" s="61">
        <v>32.880000000000003</v>
      </c>
      <c r="J37" s="60">
        <v>3499.1</v>
      </c>
      <c r="K37" s="68">
        <f t="shared" si="6"/>
        <v>6.2</v>
      </c>
      <c r="L37" s="69">
        <f t="shared" si="1"/>
        <v>32.880000000000003</v>
      </c>
      <c r="M37" s="273">
        <f t="shared" si="0"/>
        <v>203.85600000000002</v>
      </c>
      <c r="N37" s="71">
        <f t="shared" si="2"/>
        <v>112.62</v>
      </c>
      <c r="O37" s="72">
        <f t="shared" si="3"/>
        <v>32.880000000000003</v>
      </c>
      <c r="P37" s="274">
        <f t="shared" si="4"/>
        <v>3702.9456000000005</v>
      </c>
      <c r="S37" s="237">
        <f t="shared" si="5"/>
        <v>115</v>
      </c>
    </row>
    <row r="38" spans="2:19" s="121" customFormat="1" ht="16.5" customHeight="1" x14ac:dyDescent="0.2">
      <c r="B38" s="120"/>
      <c r="C38" s="56" t="s">
        <v>165</v>
      </c>
      <c r="D38" s="56" t="s">
        <v>96</v>
      </c>
      <c r="E38" s="57" t="s">
        <v>227</v>
      </c>
      <c r="F38" s="58" t="s">
        <v>228</v>
      </c>
      <c r="G38" s="59" t="s">
        <v>133</v>
      </c>
      <c r="H38" s="60">
        <v>106.42</v>
      </c>
      <c r="I38" s="61">
        <v>6.58</v>
      </c>
      <c r="J38" s="60">
        <v>700.2</v>
      </c>
      <c r="K38" s="68">
        <f t="shared" si="6"/>
        <v>6.2</v>
      </c>
      <c r="L38" s="69">
        <f t="shared" si="1"/>
        <v>6.58</v>
      </c>
      <c r="M38" s="273">
        <f t="shared" si="0"/>
        <v>40.795999999999999</v>
      </c>
      <c r="N38" s="71">
        <f t="shared" si="2"/>
        <v>112.62</v>
      </c>
      <c r="O38" s="72">
        <f t="shared" si="3"/>
        <v>6.58</v>
      </c>
      <c r="P38" s="274">
        <f t="shared" si="4"/>
        <v>741.03960000000006</v>
      </c>
      <c r="S38" s="237">
        <f t="shared" si="5"/>
        <v>115</v>
      </c>
    </row>
    <row r="39" spans="2:19" s="170" customFormat="1" ht="22.9" customHeight="1" x14ac:dyDescent="0.2">
      <c r="B39" s="165"/>
      <c r="C39" s="252"/>
      <c r="D39" s="253" t="s">
        <v>4</v>
      </c>
      <c r="E39" s="254" t="s">
        <v>100</v>
      </c>
      <c r="F39" s="254" t="s">
        <v>229</v>
      </c>
      <c r="G39" s="252"/>
      <c r="H39" s="252"/>
      <c r="I39" s="255"/>
      <c r="J39" s="256">
        <f>+SUBTOTAL(9,J40:J46)</f>
        <v>61159.7</v>
      </c>
      <c r="K39" s="261"/>
      <c r="L39" s="262"/>
      <c r="M39" s="279">
        <f>SUM(M40:M46)</f>
        <v>3397.5459000000001</v>
      </c>
      <c r="N39" s="280"/>
      <c r="O39" s="262"/>
      <c r="P39" s="279">
        <f>SUM(P40:P46)</f>
        <v>64557.314699999995</v>
      </c>
      <c r="S39" s="237">
        <f t="shared" si="5"/>
        <v>0</v>
      </c>
    </row>
    <row r="40" spans="2:19" s="121" customFormat="1" ht="16.5" customHeight="1" x14ac:dyDescent="0.2">
      <c r="B40" s="120"/>
      <c r="C40" s="56" t="s">
        <v>168</v>
      </c>
      <c r="D40" s="56" t="s">
        <v>96</v>
      </c>
      <c r="E40" s="57" t="s">
        <v>231</v>
      </c>
      <c r="F40" s="58" t="s">
        <v>232</v>
      </c>
      <c r="G40" s="59" t="s">
        <v>99</v>
      </c>
      <c r="H40" s="60">
        <v>4</v>
      </c>
      <c r="I40" s="61">
        <v>122.32</v>
      </c>
      <c r="J40" s="60">
        <v>489.3</v>
      </c>
      <c r="K40" s="68">
        <v>0</v>
      </c>
      <c r="L40" s="69">
        <f t="shared" si="1"/>
        <v>122.32</v>
      </c>
      <c r="M40" s="273">
        <f t="shared" si="0"/>
        <v>0</v>
      </c>
      <c r="N40" s="71">
        <f t="shared" si="2"/>
        <v>4</v>
      </c>
      <c r="O40" s="72">
        <f t="shared" si="3"/>
        <v>122.32</v>
      </c>
      <c r="P40" s="274">
        <f t="shared" si="4"/>
        <v>489.28</v>
      </c>
      <c r="S40" s="237">
        <f t="shared" si="5"/>
        <v>4.32</v>
      </c>
    </row>
    <row r="41" spans="2:19" s="121" customFormat="1" ht="16.5" customHeight="1" x14ac:dyDescent="0.2">
      <c r="B41" s="120"/>
      <c r="C41" s="73" t="s">
        <v>171</v>
      </c>
      <c r="D41" s="73" t="s">
        <v>209</v>
      </c>
      <c r="E41" s="74" t="s">
        <v>234</v>
      </c>
      <c r="F41" s="75" t="s">
        <v>235</v>
      </c>
      <c r="G41" s="76" t="s">
        <v>99</v>
      </c>
      <c r="H41" s="77">
        <v>2</v>
      </c>
      <c r="I41" s="78">
        <v>345.9</v>
      </c>
      <c r="J41" s="77">
        <v>691.8</v>
      </c>
      <c r="K41" s="68">
        <v>0</v>
      </c>
      <c r="L41" s="69">
        <f t="shared" si="1"/>
        <v>345.9</v>
      </c>
      <c r="M41" s="273">
        <f t="shared" si="0"/>
        <v>0</v>
      </c>
      <c r="N41" s="71">
        <f t="shared" si="2"/>
        <v>2</v>
      </c>
      <c r="O41" s="72">
        <f t="shared" si="3"/>
        <v>345.9</v>
      </c>
      <c r="P41" s="274">
        <f t="shared" si="4"/>
        <v>691.8</v>
      </c>
      <c r="S41" s="237">
        <f t="shared" si="5"/>
        <v>2.16</v>
      </c>
    </row>
    <row r="42" spans="2:19" s="121" customFormat="1" ht="16.5" customHeight="1" x14ac:dyDescent="0.2">
      <c r="B42" s="120"/>
      <c r="C42" s="73" t="s">
        <v>174</v>
      </c>
      <c r="D42" s="73" t="s">
        <v>209</v>
      </c>
      <c r="E42" s="74" t="s">
        <v>243</v>
      </c>
      <c r="F42" s="75" t="s">
        <v>244</v>
      </c>
      <c r="G42" s="76" t="s">
        <v>99</v>
      </c>
      <c r="H42" s="77">
        <v>2</v>
      </c>
      <c r="I42" s="78">
        <v>220.96</v>
      </c>
      <c r="J42" s="77">
        <v>441.9</v>
      </c>
      <c r="K42" s="68">
        <v>0</v>
      </c>
      <c r="L42" s="69">
        <f t="shared" si="1"/>
        <v>220.96</v>
      </c>
      <c r="M42" s="273">
        <f t="shared" si="0"/>
        <v>0</v>
      </c>
      <c r="N42" s="71">
        <f t="shared" si="2"/>
        <v>2</v>
      </c>
      <c r="O42" s="72">
        <f t="shared" si="3"/>
        <v>220.96</v>
      </c>
      <c r="P42" s="274">
        <f t="shared" si="4"/>
        <v>441.92</v>
      </c>
      <c r="S42" s="237">
        <f t="shared" si="5"/>
        <v>2.16</v>
      </c>
    </row>
    <row r="43" spans="2:19" s="121" customFormat="1" ht="16.5" customHeight="1" x14ac:dyDescent="0.2">
      <c r="B43" s="120"/>
      <c r="C43" s="56" t="s">
        <v>177</v>
      </c>
      <c r="D43" s="56" t="s">
        <v>96</v>
      </c>
      <c r="E43" s="57" t="s">
        <v>246</v>
      </c>
      <c r="F43" s="58" t="s">
        <v>247</v>
      </c>
      <c r="G43" s="59" t="s">
        <v>99</v>
      </c>
      <c r="H43" s="60">
        <v>3</v>
      </c>
      <c r="I43" s="61">
        <v>152.57</v>
      </c>
      <c r="J43" s="60">
        <v>457.7</v>
      </c>
      <c r="K43" s="68">
        <v>0</v>
      </c>
      <c r="L43" s="69">
        <f t="shared" si="1"/>
        <v>152.57</v>
      </c>
      <c r="M43" s="273">
        <f t="shared" si="0"/>
        <v>0</v>
      </c>
      <c r="N43" s="71">
        <f t="shared" si="2"/>
        <v>3</v>
      </c>
      <c r="O43" s="72">
        <f t="shared" si="3"/>
        <v>152.57</v>
      </c>
      <c r="P43" s="274">
        <f t="shared" si="4"/>
        <v>457.71</v>
      </c>
      <c r="S43" s="237">
        <f t="shared" si="5"/>
        <v>3.24</v>
      </c>
    </row>
    <row r="44" spans="2:19" s="121" customFormat="1" ht="16.5" customHeight="1" x14ac:dyDescent="0.2">
      <c r="B44" s="120"/>
      <c r="C44" s="73" t="s">
        <v>180</v>
      </c>
      <c r="D44" s="73" t="s">
        <v>209</v>
      </c>
      <c r="E44" s="74" t="s">
        <v>249</v>
      </c>
      <c r="F44" s="75" t="s">
        <v>250</v>
      </c>
      <c r="G44" s="76" t="s">
        <v>99</v>
      </c>
      <c r="H44" s="77">
        <v>3</v>
      </c>
      <c r="I44" s="78">
        <v>395.88</v>
      </c>
      <c r="J44" s="77">
        <v>1187.5999999999999</v>
      </c>
      <c r="K44" s="68">
        <v>0</v>
      </c>
      <c r="L44" s="69">
        <f t="shared" si="1"/>
        <v>395.88</v>
      </c>
      <c r="M44" s="273">
        <f t="shared" si="0"/>
        <v>0</v>
      </c>
      <c r="N44" s="71">
        <f t="shared" si="2"/>
        <v>3</v>
      </c>
      <c r="O44" s="72">
        <f t="shared" si="3"/>
        <v>395.88</v>
      </c>
      <c r="P44" s="274">
        <f t="shared" si="4"/>
        <v>1187.6399999999999</v>
      </c>
      <c r="S44" s="237">
        <f t="shared" si="5"/>
        <v>3.24</v>
      </c>
    </row>
    <row r="45" spans="2:19" s="121" customFormat="1" ht="16.5" customHeight="1" x14ac:dyDescent="0.2">
      <c r="B45" s="120"/>
      <c r="C45" s="56" t="s">
        <v>183</v>
      </c>
      <c r="D45" s="56" t="s">
        <v>96</v>
      </c>
      <c r="E45" s="57" t="s">
        <v>252</v>
      </c>
      <c r="F45" s="58" t="s">
        <v>253</v>
      </c>
      <c r="G45" s="59" t="s">
        <v>150</v>
      </c>
      <c r="H45" s="60">
        <v>16.77</v>
      </c>
      <c r="I45" s="61">
        <v>3239.16</v>
      </c>
      <c r="J45" s="60">
        <v>54320.7</v>
      </c>
      <c r="K45" s="68">
        <f t="shared" ref="K45:K46" si="7">ROUND(121.2/115*S45-S45,2)</f>
        <v>0.98</v>
      </c>
      <c r="L45" s="69">
        <f t="shared" si="1"/>
        <v>3239.16</v>
      </c>
      <c r="M45" s="273">
        <f t="shared" si="0"/>
        <v>3174.3768</v>
      </c>
      <c r="N45" s="71">
        <f t="shared" si="2"/>
        <v>17.75</v>
      </c>
      <c r="O45" s="72">
        <f t="shared" si="3"/>
        <v>3239.16</v>
      </c>
      <c r="P45" s="274">
        <f t="shared" si="4"/>
        <v>57495.09</v>
      </c>
      <c r="S45" s="237">
        <f t="shared" si="5"/>
        <v>18.12</v>
      </c>
    </row>
    <row r="46" spans="2:19" s="121" customFormat="1" ht="16.5" customHeight="1" x14ac:dyDescent="0.2">
      <c r="B46" s="120"/>
      <c r="C46" s="56" t="s">
        <v>186</v>
      </c>
      <c r="D46" s="56" t="s">
        <v>96</v>
      </c>
      <c r="E46" s="57" t="s">
        <v>255</v>
      </c>
      <c r="F46" s="58" t="s">
        <v>256</v>
      </c>
      <c r="G46" s="59" t="s">
        <v>150</v>
      </c>
      <c r="H46" s="60">
        <v>1.1200000000000001</v>
      </c>
      <c r="I46" s="61">
        <v>3188.13</v>
      </c>
      <c r="J46" s="60">
        <v>3570.7</v>
      </c>
      <c r="K46" s="68">
        <f t="shared" si="7"/>
        <v>7.0000000000000007E-2</v>
      </c>
      <c r="L46" s="69">
        <f t="shared" si="1"/>
        <v>3188.13</v>
      </c>
      <c r="M46" s="273">
        <f t="shared" si="0"/>
        <v>223.16910000000004</v>
      </c>
      <c r="N46" s="71">
        <f t="shared" si="2"/>
        <v>1.1900000000000002</v>
      </c>
      <c r="O46" s="72">
        <f t="shared" si="3"/>
        <v>3188.13</v>
      </c>
      <c r="P46" s="274">
        <f t="shared" si="4"/>
        <v>3793.8747000000008</v>
      </c>
      <c r="S46" s="237">
        <f t="shared" si="5"/>
        <v>1.21</v>
      </c>
    </row>
    <row r="47" spans="2:19" s="170" customFormat="1" ht="22.9" customHeight="1" x14ac:dyDescent="0.2">
      <c r="B47" s="165"/>
      <c r="C47" s="252"/>
      <c r="D47" s="253" t="s">
        <v>4</v>
      </c>
      <c r="E47" s="254" t="s">
        <v>105</v>
      </c>
      <c r="F47" s="254" t="s">
        <v>257</v>
      </c>
      <c r="G47" s="252"/>
      <c r="H47" s="252"/>
      <c r="I47" s="255"/>
      <c r="J47" s="256">
        <f>+SUBTOTAL(9,J48:J52)</f>
        <v>211328.7</v>
      </c>
      <c r="K47" s="261"/>
      <c r="L47" s="262"/>
      <c r="M47" s="279">
        <f>SUM(M48:M52)</f>
        <v>0</v>
      </c>
      <c r="N47" s="280"/>
      <c r="O47" s="262"/>
      <c r="P47" s="279">
        <f>SUM(P48:P52)</f>
        <v>211328.6764</v>
      </c>
      <c r="S47" s="237">
        <f t="shared" si="5"/>
        <v>0</v>
      </c>
    </row>
    <row r="48" spans="2:19" s="121" customFormat="1" ht="16.5" customHeight="1" x14ac:dyDescent="0.2">
      <c r="B48" s="120"/>
      <c r="C48" s="56" t="s">
        <v>189</v>
      </c>
      <c r="D48" s="56" t="s">
        <v>96</v>
      </c>
      <c r="E48" s="57" t="s">
        <v>262</v>
      </c>
      <c r="F48" s="58" t="s">
        <v>263</v>
      </c>
      <c r="G48" s="59" t="s">
        <v>108</v>
      </c>
      <c r="H48" s="60">
        <v>126.32</v>
      </c>
      <c r="I48" s="61">
        <v>302.54000000000002</v>
      </c>
      <c r="J48" s="60">
        <v>38216.9</v>
      </c>
      <c r="K48" s="68">
        <v>0</v>
      </c>
      <c r="L48" s="69">
        <f t="shared" si="1"/>
        <v>302.54000000000002</v>
      </c>
      <c r="M48" s="273">
        <f t="shared" si="0"/>
        <v>0</v>
      </c>
      <c r="N48" s="71">
        <f t="shared" si="2"/>
        <v>126.32</v>
      </c>
      <c r="O48" s="72">
        <f t="shared" si="3"/>
        <v>302.54000000000002</v>
      </c>
      <c r="P48" s="274">
        <f t="shared" si="4"/>
        <v>38216.852800000001</v>
      </c>
      <c r="S48" s="237">
        <f t="shared" si="5"/>
        <v>136.5</v>
      </c>
    </row>
    <row r="49" spans="2:19" s="121" customFormat="1" ht="16.5" customHeight="1" x14ac:dyDescent="0.2">
      <c r="B49" s="120"/>
      <c r="C49" s="56" t="s">
        <v>192</v>
      </c>
      <c r="D49" s="56" t="s">
        <v>96</v>
      </c>
      <c r="E49" s="57" t="s">
        <v>268</v>
      </c>
      <c r="F49" s="58" t="s">
        <v>269</v>
      </c>
      <c r="G49" s="59" t="s">
        <v>108</v>
      </c>
      <c r="H49" s="60">
        <v>126.32</v>
      </c>
      <c r="I49" s="61">
        <v>14.18</v>
      </c>
      <c r="J49" s="60">
        <v>1791.2</v>
      </c>
      <c r="K49" s="68">
        <v>0</v>
      </c>
      <c r="L49" s="69">
        <f t="shared" si="1"/>
        <v>14.18</v>
      </c>
      <c r="M49" s="273">
        <f t="shared" si="0"/>
        <v>0</v>
      </c>
      <c r="N49" s="71">
        <f t="shared" si="2"/>
        <v>126.32</v>
      </c>
      <c r="O49" s="72">
        <f t="shared" si="3"/>
        <v>14.18</v>
      </c>
      <c r="P49" s="274">
        <f t="shared" si="4"/>
        <v>1791.2175999999999</v>
      </c>
      <c r="S49" s="237">
        <f t="shared" si="5"/>
        <v>136.5</v>
      </c>
    </row>
    <row r="50" spans="2:19" s="121" customFormat="1" ht="16.5" customHeight="1" x14ac:dyDescent="0.2">
      <c r="B50" s="120"/>
      <c r="C50" s="56" t="s">
        <v>195</v>
      </c>
      <c r="D50" s="56" t="s">
        <v>96</v>
      </c>
      <c r="E50" s="57" t="s">
        <v>271</v>
      </c>
      <c r="F50" s="58" t="s">
        <v>272</v>
      </c>
      <c r="G50" s="59" t="s">
        <v>108</v>
      </c>
      <c r="H50" s="60">
        <v>241.16</v>
      </c>
      <c r="I50" s="61">
        <v>20.62</v>
      </c>
      <c r="J50" s="60">
        <v>4972.7</v>
      </c>
      <c r="K50" s="68">
        <v>0</v>
      </c>
      <c r="L50" s="69">
        <f t="shared" si="1"/>
        <v>20.62</v>
      </c>
      <c r="M50" s="273">
        <f t="shared" si="0"/>
        <v>0</v>
      </c>
      <c r="N50" s="71">
        <f t="shared" si="2"/>
        <v>241.16</v>
      </c>
      <c r="O50" s="72">
        <f t="shared" si="3"/>
        <v>20.62</v>
      </c>
      <c r="P50" s="274">
        <f t="shared" si="4"/>
        <v>4972.7192000000005</v>
      </c>
      <c r="S50" s="237">
        <f t="shared" si="5"/>
        <v>260.60000000000002</v>
      </c>
    </row>
    <row r="51" spans="2:19" s="121" customFormat="1" ht="16.5" customHeight="1" x14ac:dyDescent="0.2">
      <c r="B51" s="120"/>
      <c r="C51" s="56" t="s">
        <v>198</v>
      </c>
      <c r="D51" s="56" t="s">
        <v>96</v>
      </c>
      <c r="E51" s="57" t="s">
        <v>274</v>
      </c>
      <c r="F51" s="58" t="s">
        <v>275</v>
      </c>
      <c r="G51" s="59" t="s">
        <v>108</v>
      </c>
      <c r="H51" s="60">
        <v>241.16</v>
      </c>
      <c r="I51" s="61">
        <v>396.71</v>
      </c>
      <c r="J51" s="60">
        <v>95670.6</v>
      </c>
      <c r="K51" s="68">
        <v>0</v>
      </c>
      <c r="L51" s="69">
        <f t="shared" si="1"/>
        <v>396.71</v>
      </c>
      <c r="M51" s="273">
        <f t="shared" si="0"/>
        <v>0</v>
      </c>
      <c r="N51" s="71">
        <f t="shared" si="2"/>
        <v>241.16</v>
      </c>
      <c r="O51" s="72">
        <f t="shared" si="3"/>
        <v>396.71</v>
      </c>
      <c r="P51" s="274">
        <f t="shared" si="4"/>
        <v>95670.583599999998</v>
      </c>
      <c r="S51" s="237">
        <f t="shared" si="5"/>
        <v>260.60000000000002</v>
      </c>
    </row>
    <row r="52" spans="2:19" s="121" customFormat="1" ht="16.5" customHeight="1" x14ac:dyDescent="0.2">
      <c r="B52" s="120"/>
      <c r="C52" s="56" t="s">
        <v>202</v>
      </c>
      <c r="D52" s="56" t="s">
        <v>96</v>
      </c>
      <c r="E52" s="57" t="s">
        <v>277</v>
      </c>
      <c r="F52" s="58" t="s">
        <v>278</v>
      </c>
      <c r="G52" s="59" t="s">
        <v>108</v>
      </c>
      <c r="H52" s="60">
        <v>126.32</v>
      </c>
      <c r="I52" s="61">
        <v>559.51</v>
      </c>
      <c r="J52" s="60">
        <v>70677.3</v>
      </c>
      <c r="K52" s="68">
        <v>0</v>
      </c>
      <c r="L52" s="69">
        <f t="shared" si="1"/>
        <v>559.51</v>
      </c>
      <c r="M52" s="273">
        <f t="shared" si="0"/>
        <v>0</v>
      </c>
      <c r="N52" s="71">
        <f t="shared" si="2"/>
        <v>126.32</v>
      </c>
      <c r="O52" s="72">
        <f t="shared" si="3"/>
        <v>559.51</v>
      </c>
      <c r="P52" s="274">
        <f t="shared" si="4"/>
        <v>70677.303199999995</v>
      </c>
      <c r="S52" s="237">
        <f t="shared" si="5"/>
        <v>136.5</v>
      </c>
    </row>
    <row r="53" spans="2:19" s="170" customFormat="1" ht="22.9" customHeight="1" x14ac:dyDescent="0.2">
      <c r="B53" s="165"/>
      <c r="C53" s="252"/>
      <c r="D53" s="253" t="s">
        <v>4</v>
      </c>
      <c r="E53" s="254" t="s">
        <v>115</v>
      </c>
      <c r="F53" s="254" t="s">
        <v>288</v>
      </c>
      <c r="G53" s="252"/>
      <c r="H53" s="252"/>
      <c r="I53" s="255"/>
      <c r="J53" s="256">
        <f>+SUBTOTAL(9,J54:J73)</f>
        <v>424117.8</v>
      </c>
      <c r="K53" s="261"/>
      <c r="L53" s="262"/>
      <c r="M53" s="279">
        <f>SUM(M54:M73)</f>
        <v>10475.954000000002</v>
      </c>
      <c r="N53" s="280"/>
      <c r="O53" s="262"/>
      <c r="P53" s="279">
        <f>SUM(P54:P73)</f>
        <v>434593.74490000005</v>
      </c>
      <c r="S53" s="237">
        <f t="shared" si="5"/>
        <v>0</v>
      </c>
    </row>
    <row r="54" spans="2:19" s="121" customFormat="1" ht="16.5" customHeight="1" x14ac:dyDescent="0.2">
      <c r="B54" s="120"/>
      <c r="C54" s="56" t="s">
        <v>205</v>
      </c>
      <c r="D54" s="56" t="s">
        <v>96</v>
      </c>
      <c r="E54" s="57" t="s">
        <v>296</v>
      </c>
      <c r="F54" s="58" t="s">
        <v>297</v>
      </c>
      <c r="G54" s="59" t="s">
        <v>133</v>
      </c>
      <c r="H54" s="60">
        <v>106.42</v>
      </c>
      <c r="I54" s="61">
        <v>552.39</v>
      </c>
      <c r="J54" s="60">
        <v>58785.3</v>
      </c>
      <c r="K54" s="68">
        <f t="shared" ref="K54:K55" si="8">ROUND(121.2/115*S54-S54,2)</f>
        <v>6.2</v>
      </c>
      <c r="L54" s="69">
        <f t="shared" si="1"/>
        <v>552.39</v>
      </c>
      <c r="M54" s="273">
        <f t="shared" si="0"/>
        <v>3424.8180000000002</v>
      </c>
      <c r="N54" s="71">
        <f t="shared" si="2"/>
        <v>112.62</v>
      </c>
      <c r="O54" s="72">
        <f t="shared" si="3"/>
        <v>552.39</v>
      </c>
      <c r="P54" s="274">
        <f t="shared" si="4"/>
        <v>62210.161800000002</v>
      </c>
      <c r="R54" s="194"/>
      <c r="S54" s="237">
        <f t="shared" si="5"/>
        <v>115</v>
      </c>
    </row>
    <row r="55" spans="2:19" s="121" customFormat="1" ht="16.5" customHeight="1" x14ac:dyDescent="0.2">
      <c r="B55" s="120"/>
      <c r="C55" s="73" t="s">
        <v>208</v>
      </c>
      <c r="D55" s="73" t="s">
        <v>209</v>
      </c>
      <c r="E55" s="74" t="s">
        <v>299</v>
      </c>
      <c r="F55" s="75" t="s">
        <v>300</v>
      </c>
      <c r="G55" s="76" t="s">
        <v>133</v>
      </c>
      <c r="H55" s="77">
        <v>106.42</v>
      </c>
      <c r="I55" s="78">
        <v>1060.07</v>
      </c>
      <c r="J55" s="77">
        <v>112812.6</v>
      </c>
      <c r="K55" s="68">
        <f t="shared" si="8"/>
        <v>6.2</v>
      </c>
      <c r="L55" s="69">
        <f t="shared" si="1"/>
        <v>1060.07</v>
      </c>
      <c r="M55" s="273">
        <f t="shared" si="0"/>
        <v>6572.4340000000002</v>
      </c>
      <c r="N55" s="71">
        <f t="shared" si="2"/>
        <v>112.62</v>
      </c>
      <c r="O55" s="72">
        <f t="shared" si="3"/>
        <v>1060.07</v>
      </c>
      <c r="P55" s="274">
        <f t="shared" si="4"/>
        <v>119385.0834</v>
      </c>
      <c r="R55" s="194"/>
      <c r="S55" s="237">
        <f t="shared" si="5"/>
        <v>115</v>
      </c>
    </row>
    <row r="56" spans="2:19" s="121" customFormat="1" ht="16.5" customHeight="1" x14ac:dyDescent="0.2">
      <c r="B56" s="120"/>
      <c r="C56" s="73" t="s">
        <v>212</v>
      </c>
      <c r="D56" s="73" t="s">
        <v>209</v>
      </c>
      <c r="E56" s="74" t="s">
        <v>302</v>
      </c>
      <c r="F56" s="75" t="s">
        <v>303</v>
      </c>
      <c r="G56" s="76" t="s">
        <v>99</v>
      </c>
      <c r="H56" s="77">
        <v>9</v>
      </c>
      <c r="I56" s="78">
        <v>739.15</v>
      </c>
      <c r="J56" s="77">
        <v>6652.4</v>
      </c>
      <c r="K56" s="68">
        <v>0</v>
      </c>
      <c r="L56" s="69">
        <f t="shared" si="1"/>
        <v>739.15</v>
      </c>
      <c r="M56" s="273">
        <f t="shared" si="0"/>
        <v>0</v>
      </c>
      <c r="N56" s="71">
        <f t="shared" si="2"/>
        <v>9</v>
      </c>
      <c r="O56" s="72">
        <f t="shared" si="3"/>
        <v>739.15</v>
      </c>
      <c r="P56" s="274">
        <f t="shared" si="4"/>
        <v>6652.3499999999995</v>
      </c>
      <c r="R56" s="194"/>
      <c r="S56" s="237">
        <f t="shared" si="5"/>
        <v>9.73</v>
      </c>
    </row>
    <row r="57" spans="2:19" s="121" customFormat="1" ht="16.5" customHeight="1" x14ac:dyDescent="0.2">
      <c r="B57" s="120"/>
      <c r="C57" s="56" t="s">
        <v>215</v>
      </c>
      <c r="D57" s="56" t="s">
        <v>96</v>
      </c>
      <c r="E57" s="57" t="s">
        <v>320</v>
      </c>
      <c r="F57" s="58" t="s">
        <v>321</v>
      </c>
      <c r="G57" s="59" t="s">
        <v>99</v>
      </c>
      <c r="H57" s="60">
        <v>2</v>
      </c>
      <c r="I57" s="61">
        <v>260.41000000000003</v>
      </c>
      <c r="J57" s="60">
        <v>520.79999999999995</v>
      </c>
      <c r="K57" s="68">
        <v>0</v>
      </c>
      <c r="L57" s="69">
        <f t="shared" si="1"/>
        <v>260.41000000000003</v>
      </c>
      <c r="M57" s="273">
        <f t="shared" si="0"/>
        <v>0</v>
      </c>
      <c r="N57" s="71">
        <f t="shared" si="2"/>
        <v>2</v>
      </c>
      <c r="O57" s="72">
        <f t="shared" si="3"/>
        <v>260.41000000000003</v>
      </c>
      <c r="P57" s="274">
        <f t="shared" si="4"/>
        <v>520.82000000000005</v>
      </c>
      <c r="R57" s="194"/>
      <c r="S57" s="237">
        <f t="shared" si="5"/>
        <v>2.16</v>
      </c>
    </row>
    <row r="58" spans="2:19" s="121" customFormat="1" ht="16.5" customHeight="1" x14ac:dyDescent="0.2">
      <c r="B58" s="120"/>
      <c r="C58" s="73" t="s">
        <v>219</v>
      </c>
      <c r="D58" s="73" t="s">
        <v>209</v>
      </c>
      <c r="E58" s="74" t="s">
        <v>326</v>
      </c>
      <c r="F58" s="75" t="s">
        <v>327</v>
      </c>
      <c r="G58" s="76" t="s">
        <v>99</v>
      </c>
      <c r="H58" s="77">
        <v>2.0299999999999998</v>
      </c>
      <c r="I58" s="78">
        <v>1801.85</v>
      </c>
      <c r="J58" s="77">
        <v>3657.8</v>
      </c>
      <c r="K58" s="68">
        <v>0</v>
      </c>
      <c r="L58" s="69">
        <f t="shared" si="1"/>
        <v>1801.85</v>
      </c>
      <c r="M58" s="273">
        <f t="shared" si="0"/>
        <v>0</v>
      </c>
      <c r="N58" s="71">
        <f t="shared" si="2"/>
        <v>2.0299999999999998</v>
      </c>
      <c r="O58" s="72">
        <f t="shared" si="3"/>
        <v>1801.85</v>
      </c>
      <c r="P58" s="274">
        <f t="shared" si="4"/>
        <v>3657.7554999999993</v>
      </c>
      <c r="R58" s="194"/>
      <c r="S58" s="237">
        <f t="shared" si="5"/>
        <v>2.19</v>
      </c>
    </row>
    <row r="59" spans="2:19" s="121" customFormat="1" ht="16.5" customHeight="1" x14ac:dyDescent="0.2">
      <c r="B59" s="120"/>
      <c r="C59" s="56" t="s">
        <v>223</v>
      </c>
      <c r="D59" s="56" t="s">
        <v>96</v>
      </c>
      <c r="E59" s="57" t="s">
        <v>329</v>
      </c>
      <c r="F59" s="58" t="s">
        <v>330</v>
      </c>
      <c r="G59" s="59" t="s">
        <v>99</v>
      </c>
      <c r="H59" s="60">
        <v>13</v>
      </c>
      <c r="I59" s="61">
        <v>219.64</v>
      </c>
      <c r="J59" s="60">
        <v>2855.3</v>
      </c>
      <c r="K59" s="68">
        <v>0</v>
      </c>
      <c r="L59" s="69">
        <f t="shared" si="1"/>
        <v>219.64</v>
      </c>
      <c r="M59" s="273">
        <f t="shared" si="0"/>
        <v>0</v>
      </c>
      <c r="N59" s="71">
        <f t="shared" si="2"/>
        <v>13</v>
      </c>
      <c r="O59" s="72">
        <f t="shared" si="3"/>
        <v>219.64</v>
      </c>
      <c r="P59" s="274">
        <f t="shared" si="4"/>
        <v>2855.3199999999997</v>
      </c>
      <c r="R59" s="194"/>
      <c r="S59" s="237">
        <f t="shared" si="5"/>
        <v>14.05</v>
      </c>
    </row>
    <row r="60" spans="2:19" s="121" customFormat="1" ht="16.5" customHeight="1" x14ac:dyDescent="0.2">
      <c r="B60" s="120"/>
      <c r="C60" s="73" t="s">
        <v>226</v>
      </c>
      <c r="D60" s="73" t="s">
        <v>209</v>
      </c>
      <c r="E60" s="74" t="s">
        <v>332</v>
      </c>
      <c r="F60" s="75" t="s">
        <v>333</v>
      </c>
      <c r="G60" s="76" t="s">
        <v>99</v>
      </c>
      <c r="H60" s="77">
        <v>6.09</v>
      </c>
      <c r="I60" s="78">
        <v>1129.77</v>
      </c>
      <c r="J60" s="77">
        <v>6880.3</v>
      </c>
      <c r="K60" s="68">
        <v>0</v>
      </c>
      <c r="L60" s="69">
        <f t="shared" si="1"/>
        <v>1129.77</v>
      </c>
      <c r="M60" s="273">
        <f t="shared" si="0"/>
        <v>0</v>
      </c>
      <c r="N60" s="71">
        <f t="shared" si="2"/>
        <v>6.09</v>
      </c>
      <c r="O60" s="72">
        <f t="shared" si="3"/>
        <v>1129.77</v>
      </c>
      <c r="P60" s="274">
        <f t="shared" si="4"/>
        <v>6880.2992999999997</v>
      </c>
      <c r="R60" s="194"/>
      <c r="S60" s="237">
        <f t="shared" si="5"/>
        <v>6.58</v>
      </c>
    </row>
    <row r="61" spans="2:19" s="121" customFormat="1" ht="16.5" customHeight="1" x14ac:dyDescent="0.2">
      <c r="B61" s="120"/>
      <c r="C61" s="73" t="s">
        <v>230</v>
      </c>
      <c r="D61" s="73" t="s">
        <v>209</v>
      </c>
      <c r="E61" s="74" t="s">
        <v>335</v>
      </c>
      <c r="F61" s="75" t="s">
        <v>336</v>
      </c>
      <c r="G61" s="76" t="s">
        <v>99</v>
      </c>
      <c r="H61" s="77">
        <v>7.11</v>
      </c>
      <c r="I61" s="78">
        <v>1129.77</v>
      </c>
      <c r="J61" s="77">
        <v>8032.7</v>
      </c>
      <c r="K61" s="68">
        <v>0</v>
      </c>
      <c r="L61" s="69">
        <f t="shared" si="1"/>
        <v>1129.77</v>
      </c>
      <c r="M61" s="273">
        <f t="shared" si="0"/>
        <v>0</v>
      </c>
      <c r="N61" s="71">
        <f t="shared" si="2"/>
        <v>7.11</v>
      </c>
      <c r="O61" s="72">
        <f t="shared" si="3"/>
        <v>1129.77</v>
      </c>
      <c r="P61" s="274">
        <f t="shared" si="4"/>
        <v>8032.6647000000003</v>
      </c>
      <c r="R61" s="194"/>
      <c r="S61" s="237">
        <f t="shared" si="5"/>
        <v>7.68</v>
      </c>
    </row>
    <row r="62" spans="2:19" s="121" customFormat="1" ht="33.75" customHeight="1" x14ac:dyDescent="0.2">
      <c r="B62" s="120"/>
      <c r="C62" s="56" t="s">
        <v>233</v>
      </c>
      <c r="D62" s="56" t="s">
        <v>96</v>
      </c>
      <c r="E62" s="57" t="s">
        <v>347</v>
      </c>
      <c r="F62" s="58" t="s">
        <v>348</v>
      </c>
      <c r="G62" s="59" t="s">
        <v>133</v>
      </c>
      <c r="H62" s="60">
        <v>106.42</v>
      </c>
      <c r="I62" s="61">
        <v>68</v>
      </c>
      <c r="J62" s="60">
        <v>7236.6</v>
      </c>
      <c r="K62" s="68">
        <f t="shared" ref="K62" si="9">ROUND(121.2/115*S62-S62,2)</f>
        <v>6.2</v>
      </c>
      <c r="L62" s="69">
        <f t="shared" si="1"/>
        <v>68</v>
      </c>
      <c r="M62" s="273">
        <f t="shared" si="0"/>
        <v>421.6</v>
      </c>
      <c r="N62" s="71">
        <f t="shared" si="2"/>
        <v>112.62</v>
      </c>
      <c r="O62" s="72">
        <f t="shared" si="3"/>
        <v>68</v>
      </c>
      <c r="P62" s="274">
        <f t="shared" si="4"/>
        <v>7658.16</v>
      </c>
      <c r="S62" s="237">
        <f t="shared" si="5"/>
        <v>115</v>
      </c>
    </row>
    <row r="63" spans="2:19" s="121" customFormat="1" ht="16.5" customHeight="1" x14ac:dyDescent="0.2">
      <c r="B63" s="120"/>
      <c r="C63" s="56" t="s">
        <v>236</v>
      </c>
      <c r="D63" s="56" t="s">
        <v>96</v>
      </c>
      <c r="E63" s="57" t="s">
        <v>350</v>
      </c>
      <c r="F63" s="58" t="s">
        <v>351</v>
      </c>
      <c r="G63" s="59" t="s">
        <v>99</v>
      </c>
      <c r="H63" s="60">
        <v>12</v>
      </c>
      <c r="I63" s="61">
        <v>808.86</v>
      </c>
      <c r="J63" s="60">
        <v>9706.2999999999993</v>
      </c>
      <c r="K63" s="68">
        <v>0</v>
      </c>
      <c r="L63" s="69">
        <f t="shared" si="1"/>
        <v>808.86</v>
      </c>
      <c r="M63" s="273">
        <f t="shared" si="0"/>
        <v>0</v>
      </c>
      <c r="N63" s="71">
        <f t="shared" si="2"/>
        <v>12</v>
      </c>
      <c r="O63" s="72">
        <f t="shared" si="3"/>
        <v>808.86</v>
      </c>
      <c r="P63" s="274">
        <f t="shared" si="4"/>
        <v>9706.32</v>
      </c>
      <c r="S63" s="237">
        <f t="shared" si="5"/>
        <v>12.97</v>
      </c>
    </row>
    <row r="64" spans="2:19" s="121" customFormat="1" ht="16.5" customHeight="1" x14ac:dyDescent="0.2">
      <c r="B64" s="120"/>
      <c r="C64" s="73" t="s">
        <v>239</v>
      </c>
      <c r="D64" s="73" t="s">
        <v>209</v>
      </c>
      <c r="E64" s="74" t="s">
        <v>356</v>
      </c>
      <c r="F64" s="75" t="s">
        <v>357</v>
      </c>
      <c r="G64" s="76" t="s">
        <v>99</v>
      </c>
      <c r="H64" s="77">
        <v>6</v>
      </c>
      <c r="I64" s="78">
        <v>1202.1099999999999</v>
      </c>
      <c r="J64" s="77">
        <v>7212.7</v>
      </c>
      <c r="K64" s="68">
        <v>0</v>
      </c>
      <c r="L64" s="69">
        <f t="shared" si="1"/>
        <v>1202.1099999999999</v>
      </c>
      <c r="M64" s="273">
        <f t="shared" si="0"/>
        <v>0</v>
      </c>
      <c r="N64" s="71">
        <f t="shared" si="2"/>
        <v>6</v>
      </c>
      <c r="O64" s="72">
        <f t="shared" si="3"/>
        <v>1202.1099999999999</v>
      </c>
      <c r="P64" s="274">
        <f t="shared" si="4"/>
        <v>7212.66</v>
      </c>
      <c r="S64" s="237">
        <f t="shared" si="5"/>
        <v>6.48</v>
      </c>
    </row>
    <row r="65" spans="2:19" s="121" customFormat="1" ht="16.5" customHeight="1" x14ac:dyDescent="0.2">
      <c r="B65" s="120"/>
      <c r="C65" s="73" t="s">
        <v>242</v>
      </c>
      <c r="D65" s="73" t="s">
        <v>209</v>
      </c>
      <c r="E65" s="74" t="s">
        <v>359</v>
      </c>
      <c r="F65" s="75" t="s">
        <v>360</v>
      </c>
      <c r="G65" s="76" t="s">
        <v>99</v>
      </c>
      <c r="H65" s="77">
        <v>6</v>
      </c>
      <c r="I65" s="78">
        <v>775.98</v>
      </c>
      <c r="J65" s="77">
        <v>4655.8999999999996</v>
      </c>
      <c r="K65" s="68">
        <v>0</v>
      </c>
      <c r="L65" s="69">
        <f t="shared" si="1"/>
        <v>775.98</v>
      </c>
      <c r="M65" s="273">
        <f t="shared" si="0"/>
        <v>0</v>
      </c>
      <c r="N65" s="71">
        <f t="shared" si="2"/>
        <v>6</v>
      </c>
      <c r="O65" s="72">
        <f t="shared" si="3"/>
        <v>775.98</v>
      </c>
      <c r="P65" s="274">
        <f t="shared" si="4"/>
        <v>4655.88</v>
      </c>
      <c r="S65" s="237">
        <f t="shared" si="5"/>
        <v>6.48</v>
      </c>
    </row>
    <row r="66" spans="2:19" s="121" customFormat="1" ht="16.5" customHeight="1" x14ac:dyDescent="0.2">
      <c r="B66" s="120"/>
      <c r="C66" s="73" t="s">
        <v>245</v>
      </c>
      <c r="D66" s="73" t="s">
        <v>209</v>
      </c>
      <c r="E66" s="74" t="s">
        <v>362</v>
      </c>
      <c r="F66" s="75" t="s">
        <v>363</v>
      </c>
      <c r="G66" s="76" t="s">
        <v>99</v>
      </c>
      <c r="H66" s="77">
        <v>19</v>
      </c>
      <c r="I66" s="78">
        <v>211.75</v>
      </c>
      <c r="J66" s="77">
        <v>4023.3</v>
      </c>
      <c r="K66" s="68">
        <v>0</v>
      </c>
      <c r="L66" s="69">
        <f t="shared" si="1"/>
        <v>211.75</v>
      </c>
      <c r="M66" s="273">
        <f t="shared" si="0"/>
        <v>0</v>
      </c>
      <c r="N66" s="71">
        <f t="shared" si="2"/>
        <v>19</v>
      </c>
      <c r="O66" s="72">
        <f t="shared" si="3"/>
        <v>211.75</v>
      </c>
      <c r="P66" s="274">
        <f t="shared" si="4"/>
        <v>4023.25</v>
      </c>
      <c r="S66" s="237">
        <f t="shared" si="5"/>
        <v>20.53</v>
      </c>
    </row>
    <row r="67" spans="2:19" s="121" customFormat="1" ht="16.5" customHeight="1" x14ac:dyDescent="0.2">
      <c r="B67" s="120"/>
      <c r="C67" s="56" t="s">
        <v>248</v>
      </c>
      <c r="D67" s="56" t="s">
        <v>96</v>
      </c>
      <c r="E67" s="57" t="s">
        <v>365</v>
      </c>
      <c r="F67" s="58" t="s">
        <v>366</v>
      </c>
      <c r="G67" s="59" t="s">
        <v>99</v>
      </c>
      <c r="H67" s="60">
        <v>7</v>
      </c>
      <c r="I67" s="61">
        <v>808.86</v>
      </c>
      <c r="J67" s="60">
        <v>5662</v>
      </c>
      <c r="K67" s="68">
        <v>0</v>
      </c>
      <c r="L67" s="69">
        <f t="shared" si="1"/>
        <v>808.86</v>
      </c>
      <c r="M67" s="273">
        <f t="shared" si="0"/>
        <v>0</v>
      </c>
      <c r="N67" s="71">
        <f t="shared" si="2"/>
        <v>7</v>
      </c>
      <c r="O67" s="72">
        <f t="shared" si="3"/>
        <v>808.86</v>
      </c>
      <c r="P67" s="274">
        <f t="shared" si="4"/>
        <v>5662.02</v>
      </c>
      <c r="S67" s="237">
        <f t="shared" si="5"/>
        <v>7.56</v>
      </c>
    </row>
    <row r="68" spans="2:19" s="121" customFormat="1" ht="16.5" customHeight="1" x14ac:dyDescent="0.2">
      <c r="B68" s="120"/>
      <c r="C68" s="73" t="s">
        <v>251</v>
      </c>
      <c r="D68" s="73" t="s">
        <v>209</v>
      </c>
      <c r="E68" s="74" t="s">
        <v>368</v>
      </c>
      <c r="F68" s="75" t="s">
        <v>369</v>
      </c>
      <c r="G68" s="76" t="s">
        <v>99</v>
      </c>
      <c r="H68" s="77">
        <v>7</v>
      </c>
      <c r="I68" s="78">
        <v>1530.92</v>
      </c>
      <c r="J68" s="77">
        <v>10716.4</v>
      </c>
      <c r="K68" s="68">
        <v>0</v>
      </c>
      <c r="L68" s="69">
        <f t="shared" si="1"/>
        <v>1530.92</v>
      </c>
      <c r="M68" s="273">
        <f t="shared" si="0"/>
        <v>0</v>
      </c>
      <c r="N68" s="71">
        <f t="shared" si="2"/>
        <v>7</v>
      </c>
      <c r="O68" s="72">
        <f t="shared" si="3"/>
        <v>1530.92</v>
      </c>
      <c r="P68" s="274">
        <f t="shared" si="4"/>
        <v>10716.44</v>
      </c>
      <c r="S68" s="237">
        <f t="shared" si="5"/>
        <v>7.56</v>
      </c>
    </row>
    <row r="69" spans="2:19" s="121" customFormat="1" ht="16.5" customHeight="1" x14ac:dyDescent="0.2">
      <c r="B69" s="120"/>
      <c r="C69" s="56" t="s">
        <v>254</v>
      </c>
      <c r="D69" s="56" t="s">
        <v>96</v>
      </c>
      <c r="E69" s="57" t="s">
        <v>371</v>
      </c>
      <c r="F69" s="58" t="s">
        <v>372</v>
      </c>
      <c r="G69" s="59" t="s">
        <v>99</v>
      </c>
      <c r="H69" s="60">
        <v>7</v>
      </c>
      <c r="I69" s="61">
        <v>3234.12</v>
      </c>
      <c r="J69" s="60">
        <v>22638.799999999999</v>
      </c>
      <c r="K69" s="68">
        <v>0</v>
      </c>
      <c r="L69" s="69">
        <f t="shared" si="1"/>
        <v>3234.12</v>
      </c>
      <c r="M69" s="273">
        <f t="shared" si="0"/>
        <v>0</v>
      </c>
      <c r="N69" s="71">
        <f t="shared" si="2"/>
        <v>7</v>
      </c>
      <c r="O69" s="72">
        <f t="shared" si="3"/>
        <v>3234.12</v>
      </c>
      <c r="P69" s="274">
        <f t="shared" si="4"/>
        <v>22638.84</v>
      </c>
      <c r="S69" s="237">
        <f t="shared" si="5"/>
        <v>7.56</v>
      </c>
    </row>
    <row r="70" spans="2:19" s="121" customFormat="1" ht="16.5" customHeight="1" x14ac:dyDescent="0.2">
      <c r="B70" s="120"/>
      <c r="C70" s="73" t="s">
        <v>258</v>
      </c>
      <c r="D70" s="73" t="s">
        <v>209</v>
      </c>
      <c r="E70" s="74" t="s">
        <v>374</v>
      </c>
      <c r="F70" s="75" t="s">
        <v>375</v>
      </c>
      <c r="G70" s="76" t="s">
        <v>99</v>
      </c>
      <c r="H70" s="77">
        <v>7</v>
      </c>
      <c r="I70" s="78">
        <v>14588.41</v>
      </c>
      <c r="J70" s="77">
        <v>102118.9</v>
      </c>
      <c r="K70" s="68">
        <v>0</v>
      </c>
      <c r="L70" s="69">
        <f t="shared" si="1"/>
        <v>14588.41</v>
      </c>
      <c r="M70" s="273">
        <f t="shared" si="0"/>
        <v>0</v>
      </c>
      <c r="N70" s="71">
        <f t="shared" si="2"/>
        <v>7</v>
      </c>
      <c r="O70" s="72">
        <f t="shared" si="3"/>
        <v>14588.41</v>
      </c>
      <c r="P70" s="274">
        <f t="shared" si="4"/>
        <v>102118.87</v>
      </c>
      <c r="S70" s="237">
        <f t="shared" si="5"/>
        <v>7.56</v>
      </c>
    </row>
    <row r="71" spans="2:19" s="121" customFormat="1" ht="16.5" customHeight="1" x14ac:dyDescent="0.2">
      <c r="B71" s="120"/>
      <c r="C71" s="56" t="s">
        <v>261</v>
      </c>
      <c r="D71" s="56" t="s">
        <v>96</v>
      </c>
      <c r="E71" s="57" t="s">
        <v>377</v>
      </c>
      <c r="F71" s="58" t="s">
        <v>378</v>
      </c>
      <c r="G71" s="59" t="s">
        <v>99</v>
      </c>
      <c r="H71" s="60">
        <v>7</v>
      </c>
      <c r="I71" s="61">
        <v>485.32</v>
      </c>
      <c r="J71" s="60">
        <v>3397.2</v>
      </c>
      <c r="K71" s="68">
        <v>0</v>
      </c>
      <c r="L71" s="69">
        <f t="shared" si="1"/>
        <v>485.32</v>
      </c>
      <c r="M71" s="273">
        <f t="shared" si="0"/>
        <v>0</v>
      </c>
      <c r="N71" s="71">
        <f t="shared" si="2"/>
        <v>7</v>
      </c>
      <c r="O71" s="72">
        <f t="shared" si="3"/>
        <v>485.32</v>
      </c>
      <c r="P71" s="274">
        <f t="shared" si="4"/>
        <v>3397.24</v>
      </c>
      <c r="S71" s="237">
        <f t="shared" si="5"/>
        <v>7.56</v>
      </c>
    </row>
    <row r="72" spans="2:19" s="121" customFormat="1" ht="16.5" customHeight="1" x14ac:dyDescent="0.2">
      <c r="B72" s="120"/>
      <c r="C72" s="73" t="s">
        <v>264</v>
      </c>
      <c r="D72" s="73" t="s">
        <v>209</v>
      </c>
      <c r="E72" s="74" t="s">
        <v>380</v>
      </c>
      <c r="F72" s="75" t="s">
        <v>381</v>
      </c>
      <c r="G72" s="76" t="s">
        <v>99</v>
      </c>
      <c r="H72" s="77">
        <v>7</v>
      </c>
      <c r="I72" s="78">
        <v>6510.34</v>
      </c>
      <c r="J72" s="77">
        <v>45572.4</v>
      </c>
      <c r="K72" s="68">
        <v>0</v>
      </c>
      <c r="L72" s="69">
        <f t="shared" si="1"/>
        <v>6510.34</v>
      </c>
      <c r="M72" s="273">
        <f t="shared" si="0"/>
        <v>0</v>
      </c>
      <c r="N72" s="71">
        <f t="shared" si="2"/>
        <v>7</v>
      </c>
      <c r="O72" s="72">
        <f t="shared" si="3"/>
        <v>6510.34</v>
      </c>
      <c r="P72" s="274">
        <f t="shared" si="4"/>
        <v>45572.380000000005</v>
      </c>
      <c r="S72" s="237">
        <f t="shared" si="5"/>
        <v>7.56</v>
      </c>
    </row>
    <row r="73" spans="2:19" s="121" customFormat="1" ht="16.5" customHeight="1" x14ac:dyDescent="0.2">
      <c r="B73" s="120"/>
      <c r="C73" s="56" t="s">
        <v>267</v>
      </c>
      <c r="D73" s="56" t="s">
        <v>96</v>
      </c>
      <c r="E73" s="57" t="s">
        <v>383</v>
      </c>
      <c r="F73" s="58" t="s">
        <v>384</v>
      </c>
      <c r="G73" s="59" t="s">
        <v>133</v>
      </c>
      <c r="H73" s="60">
        <v>106.42</v>
      </c>
      <c r="I73" s="61">
        <v>9.2100000000000009</v>
      </c>
      <c r="J73" s="60">
        <v>980.1</v>
      </c>
      <c r="K73" s="68">
        <f t="shared" ref="K73" si="10">ROUND(121.2/115*S73-S73,2)</f>
        <v>6.2</v>
      </c>
      <c r="L73" s="69">
        <f t="shared" si="1"/>
        <v>9.2100000000000009</v>
      </c>
      <c r="M73" s="273">
        <f t="shared" si="0"/>
        <v>57.102000000000004</v>
      </c>
      <c r="N73" s="71">
        <f t="shared" si="2"/>
        <v>112.62</v>
      </c>
      <c r="O73" s="72">
        <f t="shared" si="3"/>
        <v>9.2100000000000009</v>
      </c>
      <c r="P73" s="274">
        <f t="shared" si="4"/>
        <v>1037.2302000000002</v>
      </c>
      <c r="S73" s="237">
        <f t="shared" si="5"/>
        <v>115</v>
      </c>
    </row>
    <row r="74" spans="2:19" s="170" customFormat="1" ht="22.9" customHeight="1" x14ac:dyDescent="0.2">
      <c r="B74" s="165"/>
      <c r="C74" s="252"/>
      <c r="D74" s="253" t="s">
        <v>4</v>
      </c>
      <c r="E74" s="254" t="s">
        <v>118</v>
      </c>
      <c r="F74" s="254" t="s">
        <v>385</v>
      </c>
      <c r="G74" s="252"/>
      <c r="H74" s="252"/>
      <c r="I74" s="255"/>
      <c r="J74" s="256">
        <f>+SUBTOTAL(9,J75:J76)</f>
        <v>36746.6</v>
      </c>
      <c r="K74" s="261"/>
      <c r="L74" s="262"/>
      <c r="M74" s="279">
        <f>SUM(M75:M76)</f>
        <v>0</v>
      </c>
      <c r="N74" s="280"/>
      <c r="O74" s="262"/>
      <c r="P74" s="279">
        <f>SUM(P75:P76)</f>
        <v>36746.503200000006</v>
      </c>
      <c r="S74" s="237">
        <f t="shared" si="5"/>
        <v>0</v>
      </c>
    </row>
    <row r="75" spans="2:19" s="121" customFormat="1" ht="16.5" customHeight="1" x14ac:dyDescent="0.2">
      <c r="B75" s="120"/>
      <c r="C75" s="56" t="s">
        <v>270</v>
      </c>
      <c r="D75" s="56" t="s">
        <v>96</v>
      </c>
      <c r="E75" s="57" t="s">
        <v>387</v>
      </c>
      <c r="F75" s="58" t="s">
        <v>388</v>
      </c>
      <c r="G75" s="59" t="s">
        <v>133</v>
      </c>
      <c r="H75" s="60">
        <v>229.68</v>
      </c>
      <c r="I75" s="61">
        <v>87.65</v>
      </c>
      <c r="J75" s="60">
        <v>20131.5</v>
      </c>
      <c r="K75" s="68">
        <v>0</v>
      </c>
      <c r="L75" s="69">
        <f t="shared" si="1"/>
        <v>87.65</v>
      </c>
      <c r="M75" s="273">
        <f t="shared" si="0"/>
        <v>0</v>
      </c>
      <c r="N75" s="71">
        <f t="shared" si="2"/>
        <v>229.68</v>
      </c>
      <c r="O75" s="72">
        <f t="shared" si="3"/>
        <v>87.65</v>
      </c>
      <c r="P75" s="274">
        <f t="shared" si="4"/>
        <v>20131.452000000001</v>
      </c>
      <c r="S75" s="237">
        <f t="shared" si="5"/>
        <v>248.2</v>
      </c>
    </row>
    <row r="76" spans="2:19" s="121" customFormat="1" ht="16.5" customHeight="1" x14ac:dyDescent="0.2">
      <c r="B76" s="120"/>
      <c r="C76" s="56" t="s">
        <v>273</v>
      </c>
      <c r="D76" s="56" t="s">
        <v>96</v>
      </c>
      <c r="E76" s="57" t="s">
        <v>390</v>
      </c>
      <c r="F76" s="58" t="s">
        <v>391</v>
      </c>
      <c r="G76" s="59" t="s">
        <v>133</v>
      </c>
      <c r="H76" s="60">
        <v>229.68</v>
      </c>
      <c r="I76" s="61">
        <v>72.34</v>
      </c>
      <c r="J76" s="60">
        <v>16615.099999999999</v>
      </c>
      <c r="K76" s="68">
        <v>0</v>
      </c>
      <c r="L76" s="69">
        <f t="shared" si="1"/>
        <v>72.34</v>
      </c>
      <c r="M76" s="273">
        <f t="shared" si="0"/>
        <v>0</v>
      </c>
      <c r="N76" s="71">
        <f t="shared" si="2"/>
        <v>229.68</v>
      </c>
      <c r="O76" s="72">
        <f t="shared" si="3"/>
        <v>72.34</v>
      </c>
      <c r="P76" s="274">
        <f t="shared" si="4"/>
        <v>16615.051200000002</v>
      </c>
      <c r="S76" s="237">
        <f t="shared" si="5"/>
        <v>248.2</v>
      </c>
    </row>
    <row r="77" spans="2:19" s="170" customFormat="1" ht="22.9" customHeight="1" x14ac:dyDescent="0.2">
      <c r="B77" s="165"/>
      <c r="C77" s="252"/>
      <c r="D77" s="253" t="s">
        <v>4</v>
      </c>
      <c r="E77" s="254" t="s">
        <v>398</v>
      </c>
      <c r="F77" s="254" t="s">
        <v>399</v>
      </c>
      <c r="G77" s="252"/>
      <c r="H77" s="252"/>
      <c r="I77" s="255"/>
      <c r="J77" s="256">
        <f>+SUBTOTAL(9,J78:J80)</f>
        <v>46724.499999999993</v>
      </c>
      <c r="K77" s="261"/>
      <c r="L77" s="262"/>
      <c r="M77" s="293">
        <f>SUM(M78:M80)</f>
        <v>1773.0267999999999</v>
      </c>
      <c r="N77" s="280"/>
      <c r="O77" s="262"/>
      <c r="P77" s="293">
        <f>SUM(P78:P80)</f>
        <v>48497.461200000005</v>
      </c>
      <c r="S77" s="237">
        <f t="shared" si="5"/>
        <v>0</v>
      </c>
    </row>
    <row r="78" spans="2:19" s="121" customFormat="1" ht="16.5" customHeight="1" x14ac:dyDescent="0.2">
      <c r="B78" s="120"/>
      <c r="C78" s="56" t="s">
        <v>276</v>
      </c>
      <c r="D78" s="56" t="s">
        <v>96</v>
      </c>
      <c r="E78" s="57" t="s">
        <v>401</v>
      </c>
      <c r="F78" s="58" t="s">
        <v>402</v>
      </c>
      <c r="G78" s="59" t="s">
        <v>201</v>
      </c>
      <c r="H78" s="60">
        <v>118.79</v>
      </c>
      <c r="I78" s="61">
        <v>183.8</v>
      </c>
      <c r="J78" s="60">
        <v>21833.599999999999</v>
      </c>
      <c r="K78" s="68">
        <f t="shared" ref="K78" si="11">ROUND(121.2/115*S78-S78,2)</f>
        <v>6.92</v>
      </c>
      <c r="L78" s="69">
        <f t="shared" si="1"/>
        <v>183.8</v>
      </c>
      <c r="M78" s="273">
        <f t="shared" si="0"/>
        <v>1271.896</v>
      </c>
      <c r="N78" s="71">
        <f t="shared" si="2"/>
        <v>125.71000000000001</v>
      </c>
      <c r="O78" s="72">
        <f t="shared" si="3"/>
        <v>183.8</v>
      </c>
      <c r="P78" s="274">
        <f t="shared" si="4"/>
        <v>23105.498000000003</v>
      </c>
      <c r="S78" s="237">
        <f t="shared" si="5"/>
        <v>128.37</v>
      </c>
    </row>
    <row r="79" spans="2:19" s="121" customFormat="1" ht="16.5" customHeight="1" x14ac:dyDescent="0.2">
      <c r="B79" s="120"/>
      <c r="C79" s="56" t="s">
        <v>279</v>
      </c>
      <c r="D79" s="56" t="s">
        <v>96</v>
      </c>
      <c r="E79" s="57" t="s">
        <v>407</v>
      </c>
      <c r="F79" s="58" t="s">
        <v>408</v>
      </c>
      <c r="G79" s="59" t="s">
        <v>201</v>
      </c>
      <c r="H79" s="60">
        <v>63.21</v>
      </c>
      <c r="I79" s="61">
        <v>257.77999999999997</v>
      </c>
      <c r="J79" s="60">
        <v>16294.3</v>
      </c>
      <c r="K79" s="68">
        <v>0</v>
      </c>
      <c r="L79" s="69">
        <f t="shared" si="1"/>
        <v>257.77999999999997</v>
      </c>
      <c r="M79" s="273">
        <f t="shared" ref="M79:M81" si="12">K79*L79</f>
        <v>0</v>
      </c>
      <c r="N79" s="71">
        <f t="shared" si="2"/>
        <v>63.21</v>
      </c>
      <c r="O79" s="72">
        <f t="shared" si="3"/>
        <v>257.77999999999997</v>
      </c>
      <c r="P79" s="274">
        <f t="shared" si="4"/>
        <v>16294.273799999999</v>
      </c>
      <c r="S79" s="237">
        <f t="shared" si="5"/>
        <v>68.31</v>
      </c>
    </row>
    <row r="80" spans="2:19" s="121" customFormat="1" ht="16.5" customHeight="1" x14ac:dyDescent="0.2">
      <c r="B80" s="120"/>
      <c r="C80" s="56" t="s">
        <v>282</v>
      </c>
      <c r="D80" s="56" t="s">
        <v>96</v>
      </c>
      <c r="E80" s="57" t="s">
        <v>410</v>
      </c>
      <c r="F80" s="58" t="s">
        <v>411</v>
      </c>
      <c r="G80" s="59" t="s">
        <v>201</v>
      </c>
      <c r="H80" s="60">
        <v>55.58</v>
      </c>
      <c r="I80" s="61">
        <v>154.66999999999999</v>
      </c>
      <c r="J80" s="60">
        <v>8596.6</v>
      </c>
      <c r="K80" s="68">
        <f t="shared" ref="K80" si="13">ROUND(121.2/115*S80-S80,2)</f>
        <v>3.24</v>
      </c>
      <c r="L80" s="69">
        <f t="shared" ref="L80:L82" si="14">I80</f>
        <v>154.66999999999999</v>
      </c>
      <c r="M80" s="273">
        <f t="shared" si="12"/>
        <v>501.13079999999997</v>
      </c>
      <c r="N80" s="71">
        <f t="shared" ref="N80:N82" si="15">H80+K80</f>
        <v>58.82</v>
      </c>
      <c r="O80" s="72">
        <f t="shared" ref="O80:O82" si="16">I80</f>
        <v>154.66999999999999</v>
      </c>
      <c r="P80" s="274">
        <f t="shared" ref="P80:P82" si="17">N80*O80</f>
        <v>9097.6893999999993</v>
      </c>
      <c r="S80" s="237">
        <f t="shared" ref="S80:S82" si="18">ROUND(115/106.42*H80,2)</f>
        <v>60.06</v>
      </c>
    </row>
    <row r="81" spans="2:19" s="170" customFormat="1" ht="22.9" customHeight="1" x14ac:dyDescent="0.2">
      <c r="B81" s="165"/>
      <c r="C81" s="252"/>
      <c r="D81" s="253" t="s">
        <v>4</v>
      </c>
      <c r="E81" s="254" t="s">
        <v>412</v>
      </c>
      <c r="F81" s="254" t="s">
        <v>413</v>
      </c>
      <c r="G81" s="252"/>
      <c r="H81" s="252"/>
      <c r="I81" s="255"/>
      <c r="J81" s="256">
        <f>+SUBTOTAL(9,J82)</f>
        <v>37438.199999999997</v>
      </c>
      <c r="K81" s="261"/>
      <c r="L81" s="262"/>
      <c r="M81" s="293">
        <f t="shared" si="12"/>
        <v>0</v>
      </c>
      <c r="N81" s="280"/>
      <c r="O81" s="262"/>
      <c r="P81" s="279">
        <f>P82</f>
        <v>39619.069199999998</v>
      </c>
      <c r="S81" s="237">
        <f t="shared" si="18"/>
        <v>0</v>
      </c>
    </row>
    <row r="82" spans="2:19" s="121" customFormat="1" ht="16.5" customHeight="1" x14ac:dyDescent="0.2">
      <c r="B82" s="120"/>
      <c r="C82" s="56" t="s">
        <v>285</v>
      </c>
      <c r="D82" s="56" t="s">
        <v>96</v>
      </c>
      <c r="E82" s="57" t="s">
        <v>415</v>
      </c>
      <c r="F82" s="58" t="s">
        <v>416</v>
      </c>
      <c r="G82" s="59" t="s">
        <v>201</v>
      </c>
      <c r="H82" s="60">
        <v>327.2</v>
      </c>
      <c r="I82" s="61">
        <v>114.42</v>
      </c>
      <c r="J82" s="60">
        <v>37438.199999999997</v>
      </c>
      <c r="K82" s="68">
        <f t="shared" ref="K82" si="19">ROUND(121.2/115*S82-S82,2)</f>
        <v>19.059999999999999</v>
      </c>
      <c r="L82" s="69">
        <f t="shared" si="14"/>
        <v>114.42</v>
      </c>
      <c r="M82" s="273">
        <f>K82*L82</f>
        <v>2180.8451999999997</v>
      </c>
      <c r="N82" s="71">
        <f t="shared" si="15"/>
        <v>346.26</v>
      </c>
      <c r="O82" s="72">
        <f t="shared" si="16"/>
        <v>114.42</v>
      </c>
      <c r="P82" s="274">
        <f t="shared" si="17"/>
        <v>39619.069199999998</v>
      </c>
      <c r="S82" s="237">
        <f t="shared" si="18"/>
        <v>353.58</v>
      </c>
    </row>
    <row r="83" spans="2:19" s="121" customFormat="1" ht="6.95" customHeight="1" x14ac:dyDescent="0.2">
      <c r="B83" s="120"/>
      <c r="C83" s="120"/>
      <c r="D83" s="120"/>
      <c r="E83" s="120"/>
      <c r="F83" s="120"/>
      <c r="G83" s="120"/>
      <c r="H83" s="120"/>
      <c r="I83" s="153"/>
      <c r="J83" s="120"/>
    </row>
    <row r="84" spans="2:19" ht="18" customHeight="1" x14ac:dyDescent="0.2">
      <c r="D84" s="42"/>
      <c r="E84" s="43" t="s">
        <v>889</v>
      </c>
      <c r="F84" s="44"/>
      <c r="G84" s="44"/>
      <c r="H84" s="45"/>
      <c r="I84" s="44"/>
      <c r="J84" s="46">
        <f>ROUND(SUBTOTAL(9,J12:J82),2)</f>
        <v>1267162.7</v>
      </c>
      <c r="K84" s="49"/>
      <c r="L84" s="46"/>
      <c r="M84" s="281">
        <f>M81+M77+M74+M53+M47+M39+M36+M14</f>
        <v>40342.962299999999</v>
      </c>
      <c r="N84" s="281"/>
      <c r="O84" s="281"/>
      <c r="P84" s="281">
        <f t="shared" ref="P84" si="20">P81+P77+P74+P53+P47+P39+P36+P14</f>
        <v>1309686.3857</v>
      </c>
    </row>
    <row r="85" spans="2:19" ht="12.75" x14ac:dyDescent="0.2">
      <c r="H85" s="50"/>
      <c r="I85" s="8"/>
      <c r="J85" s="9"/>
    </row>
    <row r="86" spans="2:19" ht="14.25" x14ac:dyDescent="0.2">
      <c r="E86" s="6" t="s">
        <v>849</v>
      </c>
      <c r="F86" s="6"/>
      <c r="G86" s="320" t="s">
        <v>1224</v>
      </c>
      <c r="H86" s="50"/>
      <c r="I86" s="8"/>
      <c r="J86" s="6"/>
      <c r="K86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82" xr:uid="{00000000-0001-0000-0E00-000000000000}"/>
  <mergeCells count="3">
    <mergeCell ref="Q13:Q14"/>
    <mergeCell ref="N9:P9"/>
    <mergeCell ref="K9:M9"/>
  </mergeCells>
  <conditionalFormatting sqref="D3:E8 H3:J8 Q9:HI10 D1:J2 D11:HI11 K12:O13 K1:HI8 K14:L82 N14:O14">
    <cfRule type="cellIs" dxfId="480" priority="95" operator="lessThan">
      <formula>0</formula>
    </cfRule>
  </conditionalFormatting>
  <conditionalFormatting sqref="G4">
    <cfRule type="cellIs" dxfId="479" priority="94" operator="lessThan">
      <formula>0</formula>
    </cfRule>
  </conditionalFormatting>
  <conditionalFormatting sqref="G3">
    <cfRule type="cellIs" dxfId="478" priority="93" operator="lessThan">
      <formula>0</formula>
    </cfRule>
  </conditionalFormatting>
  <conditionalFormatting sqref="K12:O13 K14:L82 N14:O14">
    <cfRule type="cellIs" dxfId="477" priority="40" operator="lessThan">
      <formula>0</formula>
    </cfRule>
  </conditionalFormatting>
  <conditionalFormatting sqref="E84:K85 D84:D86 G86:I86 L84:HS86">
    <cfRule type="cellIs" dxfId="476" priority="29" operator="lessThan">
      <formula>0</formula>
    </cfRule>
  </conditionalFormatting>
  <conditionalFormatting sqref="G86:I86 L86:M86">
    <cfRule type="cellIs" dxfId="475" priority="28" operator="lessThan">
      <formula>0</formula>
    </cfRule>
  </conditionalFormatting>
  <conditionalFormatting sqref="G86:I86">
    <cfRule type="cellIs" dxfId="474" priority="27" operator="lessThan">
      <formula>0</formula>
    </cfRule>
  </conditionalFormatting>
  <conditionalFormatting sqref="G86:I86">
    <cfRule type="cellIs" dxfId="473" priority="26" operator="lessThan">
      <formula>0</formula>
    </cfRule>
  </conditionalFormatting>
  <conditionalFormatting sqref="N15:O82">
    <cfRule type="cellIs" dxfId="472" priority="10" operator="lessThan">
      <formula>0</formula>
    </cfRule>
  </conditionalFormatting>
  <conditionalFormatting sqref="N15:O82">
    <cfRule type="cellIs" dxfId="471" priority="9" operator="lessThan">
      <formula>0</formula>
    </cfRule>
  </conditionalFormatting>
  <conditionalFormatting sqref="E9:J10">
    <cfRule type="cellIs" dxfId="470" priority="7" operator="lessThan">
      <formula>0</formula>
    </cfRule>
  </conditionalFormatting>
  <conditionalFormatting sqref="K9:L10 N9:O9">
    <cfRule type="cellIs" dxfId="469" priority="6" operator="lessThan">
      <formula>0</formula>
    </cfRule>
  </conditionalFormatting>
  <conditionalFormatting sqref="M10:P10">
    <cfRule type="cellIs" dxfId="468" priority="5" operator="lessThan">
      <formula>0</formula>
    </cfRule>
  </conditionalFormatting>
  <conditionalFormatting sqref="P14">
    <cfRule type="cellIs" dxfId="467" priority="4" operator="lessThan">
      <formula>0</formula>
    </cfRule>
  </conditionalFormatting>
  <conditionalFormatting sqref="P14">
    <cfRule type="cellIs" dxfId="466" priority="3" operator="lessThan">
      <formula>0</formula>
    </cfRule>
  </conditionalFormatting>
  <conditionalFormatting sqref="M14">
    <cfRule type="cellIs" dxfId="465" priority="2" operator="lessThan">
      <formula>0</formula>
    </cfRule>
  </conditionalFormatting>
  <conditionalFormatting sqref="M14">
    <cfRule type="cellIs" dxfId="464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2" fitToHeight="0" orientation="landscape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FF0000"/>
    <pageSetUpPr fitToPage="1"/>
  </sheetPr>
  <dimension ref="B1:AK107"/>
  <sheetViews>
    <sheetView showGridLines="0" view="pageBreakPreview" topLeftCell="A58" zoomScale="60" zoomScaleNormal="100" workbookViewId="0">
      <selection activeCell="H80" sqref="H80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10.83203125" style="8" customWidth="1"/>
    <col min="12" max="12" width="15.33203125" style="8" bestFit="1" customWidth="1"/>
    <col min="13" max="13" width="21" style="8" bestFit="1" customWidth="1"/>
    <col min="14" max="14" width="17.6640625" style="8" bestFit="1" customWidth="1"/>
    <col min="15" max="15" width="21.6640625" style="8" bestFit="1" customWidth="1"/>
    <col min="16" max="16" width="21" style="8" bestFit="1" customWidth="1"/>
    <col min="17" max="17" width="28" style="8" customWidth="1"/>
    <col min="18" max="18" width="21" style="8" customWidth="1"/>
    <col min="19" max="19" width="31.6640625" style="8" bestFit="1" customWidth="1"/>
    <col min="20" max="20" width="24.5" style="8" bestFit="1" customWidth="1"/>
    <col min="21" max="21" width="22.33203125" style="8" bestFit="1" customWidth="1"/>
    <col min="22" max="22" width="30" style="8" bestFit="1" customWidth="1"/>
    <col min="23" max="23" width="64.5" style="8" bestFit="1" customWidth="1"/>
    <col min="24" max="24" width="12.5" style="8" bestFit="1" customWidth="1"/>
    <col min="25" max="25" width="12.6640625" style="8" bestFit="1" customWidth="1"/>
    <col min="26" max="26" width="19.33203125" style="8" bestFit="1" customWidth="1"/>
    <col min="27" max="27" width="0" style="8" hidden="1" customWidth="1"/>
    <col min="28" max="28" width="25" style="8" bestFit="1" customWidth="1"/>
    <col min="29" max="29" width="3.83203125" style="8" bestFit="1" customWidth="1"/>
    <col min="30" max="32" width="0" style="8" hidden="1" customWidth="1"/>
    <col min="33" max="33" width="72.6640625" style="8" bestFit="1" customWidth="1"/>
    <col min="34" max="34" width="24.33203125" style="8" bestFit="1" customWidth="1"/>
    <col min="35" max="35" width="44.5" style="8" bestFit="1" customWidth="1"/>
    <col min="36" max="36" width="48.6640625" style="8" bestFit="1" customWidth="1"/>
    <col min="37" max="37" width="3.33203125" style="8" bestFit="1" customWidth="1"/>
    <col min="38" max="16384" width="9.33203125" style="8"/>
  </cols>
  <sheetData>
    <row r="1" spans="2:36" ht="15" x14ac:dyDescent="0.2">
      <c r="F1" s="11"/>
      <c r="G1" s="89"/>
      <c r="H1" s="88"/>
      <c r="I1" s="8"/>
      <c r="J1" s="9"/>
    </row>
    <row r="2" spans="2:36" s="88" customFormat="1" ht="15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</row>
    <row r="3" spans="2:36" s="88" customFormat="1" ht="15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36" s="13" customFormat="1" ht="15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36" s="13" customFormat="1" ht="15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36" s="13" customFormat="1" ht="15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36" s="13" customFormat="1" ht="15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36" s="14" customFormat="1" ht="12.75" x14ac:dyDescent="0.2">
      <c r="D8" s="146"/>
      <c r="F8" s="11"/>
      <c r="G8" s="105"/>
      <c r="H8" s="145"/>
      <c r="K8" s="149" t="s">
        <v>851</v>
      </c>
      <c r="L8" s="150" t="str">
        <f>+C12</f>
        <v>B3 - Stoka B3</v>
      </c>
      <c r="M8" s="150"/>
      <c r="O8" s="151"/>
    </row>
    <row r="9" spans="2:36" s="15" customFormat="1" ht="12.75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  <c r="Q9" s="87"/>
      <c r="R9" s="87"/>
    </row>
    <row r="10" spans="2:36" s="15" customFormat="1" ht="12.75" customHeight="1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41"/>
      <c r="R10" s="41"/>
      <c r="S10" s="189" t="s">
        <v>1003</v>
      </c>
      <c r="T10" s="189" t="s">
        <v>1060</v>
      </c>
      <c r="V10" s="189" t="s">
        <v>1089</v>
      </c>
      <c r="Y10" s="189" t="s">
        <v>1110</v>
      </c>
      <c r="AB10" s="189" t="s">
        <v>1136</v>
      </c>
      <c r="AG10" s="15" t="s">
        <v>1146</v>
      </c>
      <c r="AJ10" s="189" t="s">
        <v>1163</v>
      </c>
    </row>
    <row r="11" spans="2:36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36" s="121" customFormat="1" ht="15.75" x14ac:dyDescent="0.25">
      <c r="B12" s="120"/>
      <c r="C12" s="152" t="s">
        <v>476</v>
      </c>
      <c r="D12" s="120"/>
      <c r="E12" s="120"/>
      <c r="F12" s="120"/>
      <c r="G12" s="120"/>
      <c r="H12" s="120"/>
      <c r="I12" s="153"/>
      <c r="J12" s="154">
        <f>+SUBTOTAL(9,J13:J102)</f>
        <v>3708175.5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  <c r="AG12" s="334" t="s">
        <v>1147</v>
      </c>
      <c r="AJ12" s="334" t="s">
        <v>1169</v>
      </c>
    </row>
    <row r="13" spans="2:36" s="170" customFormat="1" ht="15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+SUBTOTAL(9,J14:J102)</f>
        <v>3708175.5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  <c r="Y13" s="170" t="s">
        <v>1081</v>
      </c>
      <c r="AG13" s="334"/>
      <c r="AJ13" s="334"/>
    </row>
    <row r="14" spans="2:36" s="170" customFormat="1" ht="12.75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+SUBTOTAL(9,J15:J47)</f>
        <v>1589177.8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SUM(M15:M47)</f>
        <v>-58691.670500000007</v>
      </c>
      <c r="N14" s="278" t="str">
        <f>IF(ISBLANK(H14),"",H14-K14)</f>
        <v/>
      </c>
      <c r="O14" s="272" t="str">
        <f>IF(ISBLANK(H14),"",J14-L14)</f>
        <v/>
      </c>
      <c r="P14" s="272">
        <f>SUM(P15:P47)</f>
        <v>1530486.0567999999</v>
      </c>
      <c r="Q14" s="295" t="s">
        <v>1219</v>
      </c>
      <c r="R14" s="298"/>
      <c r="AG14" s="334"/>
      <c r="AJ14" s="334"/>
    </row>
    <row r="15" spans="2:36" s="121" customFormat="1" ht="12" x14ac:dyDescent="0.2">
      <c r="B15" s="120"/>
      <c r="C15" s="56" t="s">
        <v>8</v>
      </c>
      <c r="D15" s="56" t="s">
        <v>96</v>
      </c>
      <c r="E15" s="57" t="s">
        <v>101</v>
      </c>
      <c r="F15" s="58" t="s">
        <v>102</v>
      </c>
      <c r="G15" s="59" t="s">
        <v>99</v>
      </c>
      <c r="H15" s="60">
        <v>5</v>
      </c>
      <c r="I15" s="61">
        <v>1720.31</v>
      </c>
      <c r="J15" s="60">
        <v>8601.6</v>
      </c>
      <c r="K15" s="68"/>
      <c r="L15" s="69">
        <f>I15</f>
        <v>1720.31</v>
      </c>
      <c r="M15" s="273">
        <f>K15*L15</f>
        <v>0</v>
      </c>
      <c r="N15" s="71">
        <f>H15+K15</f>
        <v>5</v>
      </c>
      <c r="O15" s="72">
        <f>I15</f>
        <v>1720.31</v>
      </c>
      <c r="P15" s="274">
        <f>N15*O15</f>
        <v>8601.5499999999993</v>
      </c>
      <c r="Q15" s="296">
        <v>5</v>
      </c>
      <c r="R15" s="289"/>
    </row>
    <row r="16" spans="2:36" s="121" customFormat="1" ht="12" x14ac:dyDescent="0.2">
      <c r="B16" s="120"/>
      <c r="C16" s="56" t="s">
        <v>13</v>
      </c>
      <c r="D16" s="56" t="s">
        <v>96</v>
      </c>
      <c r="E16" s="57" t="s">
        <v>116</v>
      </c>
      <c r="F16" s="58" t="s">
        <v>117</v>
      </c>
      <c r="G16" s="59" t="s">
        <v>108</v>
      </c>
      <c r="H16" s="60">
        <v>352.17</v>
      </c>
      <c r="I16" s="61">
        <v>40.770000000000003</v>
      </c>
      <c r="J16" s="60">
        <v>14358</v>
      </c>
      <c r="K16" s="68"/>
      <c r="L16" s="69">
        <f t="shared" ref="L16:L79" si="0">I16</f>
        <v>40.770000000000003</v>
      </c>
      <c r="M16" s="273">
        <f t="shared" ref="M16:M79" si="1">K16*L16</f>
        <v>0</v>
      </c>
      <c r="N16" s="71">
        <f t="shared" ref="N16:N79" si="2">H16+K16</f>
        <v>352.17</v>
      </c>
      <c r="O16" s="72">
        <f t="shared" ref="O16:O79" si="3">I16</f>
        <v>40.770000000000003</v>
      </c>
      <c r="P16" s="274">
        <f t="shared" ref="P16:P79" si="4">N16*O16</f>
        <v>14357.970900000002</v>
      </c>
      <c r="Q16" s="296">
        <v>302.2</v>
      </c>
      <c r="R16" s="289"/>
      <c r="AI16" s="186" t="s">
        <v>1161</v>
      </c>
    </row>
    <row r="17" spans="2:24" s="121" customFormat="1" ht="12" x14ac:dyDescent="0.2">
      <c r="B17" s="120"/>
      <c r="C17" s="56" t="s">
        <v>100</v>
      </c>
      <c r="D17" s="56" t="s">
        <v>96</v>
      </c>
      <c r="E17" s="57" t="s">
        <v>125</v>
      </c>
      <c r="F17" s="58" t="s">
        <v>126</v>
      </c>
      <c r="G17" s="59" t="s">
        <v>108</v>
      </c>
      <c r="H17" s="60">
        <v>669.62</v>
      </c>
      <c r="I17" s="61">
        <v>55.24</v>
      </c>
      <c r="J17" s="60">
        <v>36989.800000000003</v>
      </c>
      <c r="K17" s="68"/>
      <c r="L17" s="69">
        <f t="shared" si="0"/>
        <v>55.24</v>
      </c>
      <c r="M17" s="273">
        <f t="shared" si="1"/>
        <v>0</v>
      </c>
      <c r="N17" s="71">
        <f t="shared" si="2"/>
        <v>669.62</v>
      </c>
      <c r="O17" s="72">
        <f t="shared" si="3"/>
        <v>55.24</v>
      </c>
      <c r="P17" s="274">
        <f t="shared" si="4"/>
        <v>36989.808799999999</v>
      </c>
      <c r="Q17" s="296">
        <v>571.52</v>
      </c>
      <c r="R17" s="289"/>
    </row>
    <row r="18" spans="2:24" s="121" customFormat="1" ht="12" x14ac:dyDescent="0.2">
      <c r="B18" s="120"/>
      <c r="C18" s="56" t="s">
        <v>105</v>
      </c>
      <c r="D18" s="56" t="s">
        <v>96</v>
      </c>
      <c r="E18" s="57" t="s">
        <v>128</v>
      </c>
      <c r="F18" s="58" t="s">
        <v>129</v>
      </c>
      <c r="G18" s="59" t="s">
        <v>108</v>
      </c>
      <c r="H18" s="60">
        <v>352.17</v>
      </c>
      <c r="I18" s="61">
        <v>98.64</v>
      </c>
      <c r="J18" s="60">
        <v>34738</v>
      </c>
      <c r="K18" s="68"/>
      <c r="L18" s="69">
        <f t="shared" si="0"/>
        <v>98.64</v>
      </c>
      <c r="M18" s="273">
        <f t="shared" si="1"/>
        <v>0</v>
      </c>
      <c r="N18" s="71">
        <f t="shared" si="2"/>
        <v>352.17</v>
      </c>
      <c r="O18" s="72">
        <f t="shared" si="3"/>
        <v>98.64</v>
      </c>
      <c r="P18" s="274">
        <f t="shared" si="4"/>
        <v>34738.048800000004</v>
      </c>
      <c r="Q18" s="296">
        <v>302.2</v>
      </c>
      <c r="R18" s="289"/>
    </row>
    <row r="19" spans="2:24" s="121" customFormat="1" ht="12" x14ac:dyDescent="0.2">
      <c r="B19" s="120"/>
      <c r="C19" s="56" t="s">
        <v>109</v>
      </c>
      <c r="D19" s="56" t="s">
        <v>96</v>
      </c>
      <c r="E19" s="57" t="s">
        <v>142</v>
      </c>
      <c r="F19" s="58" t="s">
        <v>143</v>
      </c>
      <c r="G19" s="59" t="s">
        <v>133</v>
      </c>
      <c r="H19" s="60">
        <v>5.5</v>
      </c>
      <c r="I19" s="61">
        <v>170.98</v>
      </c>
      <c r="J19" s="60">
        <v>940.4</v>
      </c>
      <c r="K19" s="68"/>
      <c r="L19" s="69">
        <f t="shared" si="0"/>
        <v>170.98</v>
      </c>
      <c r="M19" s="273">
        <f t="shared" si="1"/>
        <v>0</v>
      </c>
      <c r="N19" s="71">
        <f t="shared" si="2"/>
        <v>5.5</v>
      </c>
      <c r="O19" s="72">
        <f t="shared" si="3"/>
        <v>170.98</v>
      </c>
      <c r="P19" s="274">
        <f t="shared" si="4"/>
        <v>940.39</v>
      </c>
      <c r="Q19" s="296">
        <v>5.5</v>
      </c>
      <c r="R19" s="289"/>
    </row>
    <row r="20" spans="2:24" s="121" customFormat="1" ht="12" x14ac:dyDescent="0.2">
      <c r="B20" s="120"/>
      <c r="C20" s="56" t="s">
        <v>112</v>
      </c>
      <c r="D20" s="56" t="s">
        <v>96</v>
      </c>
      <c r="E20" s="57" t="s">
        <v>145</v>
      </c>
      <c r="F20" s="58" t="s">
        <v>146</v>
      </c>
      <c r="G20" s="59" t="s">
        <v>133</v>
      </c>
      <c r="H20" s="60">
        <v>8.8000000000000007</v>
      </c>
      <c r="I20" s="61">
        <v>147.30000000000001</v>
      </c>
      <c r="J20" s="60">
        <v>1296.2</v>
      </c>
      <c r="K20" s="68"/>
      <c r="L20" s="69">
        <f t="shared" si="0"/>
        <v>147.30000000000001</v>
      </c>
      <c r="M20" s="273">
        <f t="shared" si="1"/>
        <v>0</v>
      </c>
      <c r="N20" s="71">
        <f t="shared" si="2"/>
        <v>8.8000000000000007</v>
      </c>
      <c r="O20" s="72">
        <f t="shared" si="3"/>
        <v>147.30000000000001</v>
      </c>
      <c r="P20" s="274">
        <f t="shared" si="4"/>
        <v>1296.2400000000002</v>
      </c>
      <c r="Q20" s="296">
        <v>8.8000000000000007</v>
      </c>
      <c r="R20" s="289"/>
    </row>
    <row r="21" spans="2:24" s="121" customFormat="1" ht="12" x14ac:dyDescent="0.2">
      <c r="B21" s="120"/>
      <c r="C21" s="56" t="s">
        <v>115</v>
      </c>
      <c r="D21" s="56" t="s">
        <v>96</v>
      </c>
      <c r="E21" s="57" t="s">
        <v>148</v>
      </c>
      <c r="F21" s="58" t="s">
        <v>149</v>
      </c>
      <c r="G21" s="59" t="s">
        <v>150</v>
      </c>
      <c r="H21" s="60">
        <v>9.7200000000000006</v>
      </c>
      <c r="I21" s="61">
        <v>38.14</v>
      </c>
      <c r="J21" s="60">
        <v>370.7</v>
      </c>
      <c r="K21" s="68"/>
      <c r="L21" s="69">
        <f t="shared" si="0"/>
        <v>38.14</v>
      </c>
      <c r="M21" s="273">
        <f t="shared" si="1"/>
        <v>0</v>
      </c>
      <c r="N21" s="71">
        <f t="shared" si="2"/>
        <v>9.7200000000000006</v>
      </c>
      <c r="O21" s="72">
        <f t="shared" si="3"/>
        <v>38.14</v>
      </c>
      <c r="P21" s="274">
        <f t="shared" si="4"/>
        <v>370.72080000000005</v>
      </c>
      <c r="Q21" s="296">
        <v>9.7200000000000006</v>
      </c>
      <c r="R21" s="289"/>
    </row>
    <row r="22" spans="2:24" s="121" customFormat="1" ht="12" x14ac:dyDescent="0.2">
      <c r="B22" s="120"/>
      <c r="C22" s="56" t="s">
        <v>118</v>
      </c>
      <c r="D22" s="56" t="s">
        <v>96</v>
      </c>
      <c r="E22" s="57" t="s">
        <v>155</v>
      </c>
      <c r="F22" s="58" t="s">
        <v>156</v>
      </c>
      <c r="G22" s="59" t="s">
        <v>150</v>
      </c>
      <c r="H22" s="60">
        <v>31.86</v>
      </c>
      <c r="I22" s="61">
        <v>257.77999999999997</v>
      </c>
      <c r="J22" s="60">
        <v>8212.9</v>
      </c>
      <c r="K22" s="68"/>
      <c r="L22" s="69">
        <f t="shared" si="0"/>
        <v>257.77999999999997</v>
      </c>
      <c r="M22" s="273">
        <f t="shared" si="1"/>
        <v>0</v>
      </c>
      <c r="N22" s="71">
        <f t="shared" si="2"/>
        <v>31.86</v>
      </c>
      <c r="O22" s="72">
        <f t="shared" si="3"/>
        <v>257.77999999999997</v>
      </c>
      <c r="P22" s="274">
        <f t="shared" si="4"/>
        <v>8212.8707999999988</v>
      </c>
      <c r="Q22" s="296">
        <v>31.86</v>
      </c>
      <c r="R22" s="289"/>
    </row>
    <row r="23" spans="2:24" s="121" customFormat="1" ht="12" x14ac:dyDescent="0.2">
      <c r="B23" s="120"/>
      <c r="C23" s="56" t="s">
        <v>121</v>
      </c>
      <c r="D23" s="56" t="s">
        <v>96</v>
      </c>
      <c r="E23" s="57" t="s">
        <v>157</v>
      </c>
      <c r="F23" s="58" t="s">
        <v>158</v>
      </c>
      <c r="G23" s="59" t="s">
        <v>150</v>
      </c>
      <c r="H23" s="60">
        <v>233.21</v>
      </c>
      <c r="I23" s="61">
        <v>257.77999999999997</v>
      </c>
      <c r="J23" s="60">
        <v>60116.9</v>
      </c>
      <c r="K23" s="68">
        <f>ROUND(H23/$H$91*$K$91,2)</f>
        <v>-12.71</v>
      </c>
      <c r="L23" s="69">
        <f t="shared" si="0"/>
        <v>257.77999999999997</v>
      </c>
      <c r="M23" s="273">
        <f t="shared" si="1"/>
        <v>-3276.3838000000001</v>
      </c>
      <c r="N23" s="71">
        <f t="shared" si="2"/>
        <v>220.5</v>
      </c>
      <c r="O23" s="72">
        <f t="shared" si="3"/>
        <v>257.77999999999997</v>
      </c>
      <c r="P23" s="274">
        <f t="shared" si="4"/>
        <v>56840.489999999991</v>
      </c>
      <c r="Q23" s="296">
        <v>205.89</v>
      </c>
      <c r="R23" s="289"/>
    </row>
    <row r="24" spans="2:24" s="121" customFormat="1" ht="12" x14ac:dyDescent="0.2">
      <c r="B24" s="120"/>
      <c r="C24" s="56" t="s">
        <v>124</v>
      </c>
      <c r="D24" s="56" t="s">
        <v>96</v>
      </c>
      <c r="E24" s="57" t="s">
        <v>160</v>
      </c>
      <c r="F24" s="58" t="s">
        <v>161</v>
      </c>
      <c r="G24" s="59" t="s">
        <v>150</v>
      </c>
      <c r="H24" s="60">
        <v>69.959999999999994</v>
      </c>
      <c r="I24" s="61">
        <v>13.15</v>
      </c>
      <c r="J24" s="60">
        <v>920</v>
      </c>
      <c r="K24" s="68">
        <f>ROUND(H24/$H$91*$K$91,2)</f>
        <v>-3.81</v>
      </c>
      <c r="L24" s="69">
        <f t="shared" si="0"/>
        <v>13.15</v>
      </c>
      <c r="M24" s="273">
        <f t="shared" si="1"/>
        <v>-50.101500000000001</v>
      </c>
      <c r="N24" s="71">
        <f t="shared" si="2"/>
        <v>66.149999999999991</v>
      </c>
      <c r="O24" s="72">
        <f t="shared" si="3"/>
        <v>13.15</v>
      </c>
      <c r="P24" s="274">
        <f t="shared" si="4"/>
        <v>869.87249999999995</v>
      </c>
      <c r="Q24" s="296">
        <v>61.76</v>
      </c>
      <c r="R24" s="289"/>
    </row>
    <row r="25" spans="2:24" s="121" customFormat="1" ht="12" x14ac:dyDescent="0.2">
      <c r="B25" s="120"/>
      <c r="C25" s="56" t="s">
        <v>127</v>
      </c>
      <c r="D25" s="56" t="s">
        <v>96</v>
      </c>
      <c r="E25" s="57" t="s">
        <v>163</v>
      </c>
      <c r="F25" s="58" t="s">
        <v>164</v>
      </c>
      <c r="G25" s="59" t="s">
        <v>150</v>
      </c>
      <c r="H25" s="60">
        <v>373.98</v>
      </c>
      <c r="I25" s="61">
        <v>315.64999999999998</v>
      </c>
      <c r="J25" s="60">
        <v>118046.8</v>
      </c>
      <c r="K25" s="68">
        <f>ROUND(H25/$H$91*$K$91,2)</f>
        <v>-20.39</v>
      </c>
      <c r="L25" s="69">
        <f t="shared" si="0"/>
        <v>315.64999999999998</v>
      </c>
      <c r="M25" s="273">
        <f t="shared" si="1"/>
        <v>-6436.1035000000002</v>
      </c>
      <c r="N25" s="71">
        <f t="shared" si="2"/>
        <v>353.59000000000003</v>
      </c>
      <c r="O25" s="72">
        <f t="shared" si="3"/>
        <v>315.64999999999998</v>
      </c>
      <c r="P25" s="274">
        <f t="shared" si="4"/>
        <v>111610.6835</v>
      </c>
      <c r="Q25" s="296">
        <v>330.17</v>
      </c>
      <c r="R25" s="289"/>
    </row>
    <row r="26" spans="2:24" s="121" customFormat="1" ht="12" x14ac:dyDescent="0.2">
      <c r="B26" s="120"/>
      <c r="C26" s="56" t="s">
        <v>130</v>
      </c>
      <c r="D26" s="56" t="s">
        <v>96</v>
      </c>
      <c r="E26" s="57" t="s">
        <v>166</v>
      </c>
      <c r="F26" s="58" t="s">
        <v>167</v>
      </c>
      <c r="G26" s="59" t="s">
        <v>150</v>
      </c>
      <c r="H26" s="60">
        <v>112.19</v>
      </c>
      <c r="I26" s="61">
        <v>15.78</v>
      </c>
      <c r="J26" s="60">
        <v>1770.4</v>
      </c>
      <c r="K26" s="68"/>
      <c r="L26" s="69">
        <f t="shared" si="0"/>
        <v>15.78</v>
      </c>
      <c r="M26" s="273">
        <f t="shared" si="1"/>
        <v>0</v>
      </c>
      <c r="N26" s="71">
        <f t="shared" si="2"/>
        <v>112.19</v>
      </c>
      <c r="O26" s="72">
        <f t="shared" si="3"/>
        <v>15.78</v>
      </c>
      <c r="P26" s="274">
        <f t="shared" si="4"/>
        <v>1770.3581999999999</v>
      </c>
      <c r="Q26" s="296">
        <v>99.05</v>
      </c>
      <c r="R26" s="289"/>
    </row>
    <row r="27" spans="2:24" s="121" customFormat="1" ht="12" x14ac:dyDescent="0.2">
      <c r="B27" s="120"/>
      <c r="C27" s="56" t="s">
        <v>134</v>
      </c>
      <c r="D27" s="56" t="s">
        <v>96</v>
      </c>
      <c r="E27" s="57" t="s">
        <v>169</v>
      </c>
      <c r="F27" s="58" t="s">
        <v>170</v>
      </c>
      <c r="G27" s="59" t="s">
        <v>150</v>
      </c>
      <c r="H27" s="60">
        <v>166.58</v>
      </c>
      <c r="I27" s="61">
        <v>837.79</v>
      </c>
      <c r="J27" s="60">
        <v>139559.1</v>
      </c>
      <c r="K27" s="68"/>
      <c r="L27" s="69">
        <f t="shared" si="0"/>
        <v>837.79</v>
      </c>
      <c r="M27" s="273">
        <f t="shared" si="1"/>
        <v>0</v>
      </c>
      <c r="N27" s="71">
        <f t="shared" si="2"/>
        <v>166.58</v>
      </c>
      <c r="O27" s="72">
        <f t="shared" si="3"/>
        <v>837.79</v>
      </c>
      <c r="P27" s="274">
        <f t="shared" si="4"/>
        <v>139559.0582</v>
      </c>
      <c r="Q27" s="296">
        <v>147.07</v>
      </c>
      <c r="R27" s="289"/>
    </row>
    <row r="28" spans="2:24" s="121" customFormat="1" ht="12" x14ac:dyDescent="0.2">
      <c r="B28" s="120"/>
      <c r="C28" s="56" t="s">
        <v>2</v>
      </c>
      <c r="D28" s="56" t="s">
        <v>96</v>
      </c>
      <c r="E28" s="57" t="s">
        <v>172</v>
      </c>
      <c r="F28" s="58" t="s">
        <v>173</v>
      </c>
      <c r="G28" s="59" t="s">
        <v>150</v>
      </c>
      <c r="H28" s="60">
        <v>59.14</v>
      </c>
      <c r="I28" s="61">
        <v>1116.6199999999999</v>
      </c>
      <c r="J28" s="60">
        <v>66036.899999999994</v>
      </c>
      <c r="K28" s="68"/>
      <c r="L28" s="69">
        <f t="shared" si="0"/>
        <v>1116.6199999999999</v>
      </c>
      <c r="M28" s="273">
        <f t="shared" si="1"/>
        <v>0</v>
      </c>
      <c r="N28" s="71">
        <f t="shared" si="2"/>
        <v>59.14</v>
      </c>
      <c r="O28" s="72">
        <f t="shared" si="3"/>
        <v>1116.6199999999999</v>
      </c>
      <c r="P28" s="274">
        <f t="shared" si="4"/>
        <v>66036.906799999997</v>
      </c>
      <c r="Q28" s="296">
        <v>52.21</v>
      </c>
      <c r="R28" s="289"/>
    </row>
    <row r="29" spans="2:24" s="121" customFormat="1" ht="22.5" x14ac:dyDescent="0.2">
      <c r="B29" s="120"/>
      <c r="C29" s="56" t="s">
        <v>141</v>
      </c>
      <c r="D29" s="56" t="s">
        <v>96</v>
      </c>
      <c r="E29" s="57" t="s">
        <v>424</v>
      </c>
      <c r="F29" s="58" t="s">
        <v>425</v>
      </c>
      <c r="G29" s="59" t="s">
        <v>133</v>
      </c>
      <c r="H29" s="60">
        <v>16</v>
      </c>
      <c r="I29" s="61">
        <v>7845.94</v>
      </c>
      <c r="J29" s="60">
        <v>125535</v>
      </c>
      <c r="K29" s="68"/>
      <c r="L29" s="69">
        <f t="shared" si="0"/>
        <v>7845.94</v>
      </c>
      <c r="M29" s="273">
        <f t="shared" si="1"/>
        <v>0</v>
      </c>
      <c r="N29" s="71">
        <f t="shared" si="2"/>
        <v>16</v>
      </c>
      <c r="O29" s="72">
        <f t="shared" si="3"/>
        <v>7845.94</v>
      </c>
      <c r="P29" s="274">
        <f t="shared" si="4"/>
        <v>125535.03999999999</v>
      </c>
      <c r="Q29" s="296">
        <v>16</v>
      </c>
      <c r="R29" s="289"/>
      <c r="S29" s="190" t="s">
        <v>1009</v>
      </c>
      <c r="U29" s="191"/>
      <c r="V29" s="191"/>
    </row>
    <row r="30" spans="2:24" s="121" customFormat="1" ht="22.5" x14ac:dyDescent="0.2">
      <c r="B30" s="120"/>
      <c r="C30" s="73" t="s">
        <v>144</v>
      </c>
      <c r="D30" s="73" t="s">
        <v>209</v>
      </c>
      <c r="E30" s="74" t="s">
        <v>426</v>
      </c>
      <c r="F30" s="75" t="s">
        <v>427</v>
      </c>
      <c r="G30" s="76" t="s">
        <v>133</v>
      </c>
      <c r="H30" s="77">
        <v>16</v>
      </c>
      <c r="I30" s="78">
        <v>4018.65</v>
      </c>
      <c r="J30" s="77">
        <v>64298.400000000001</v>
      </c>
      <c r="K30" s="68"/>
      <c r="L30" s="69">
        <f t="shared" si="0"/>
        <v>4018.65</v>
      </c>
      <c r="M30" s="273">
        <f t="shared" si="1"/>
        <v>0</v>
      </c>
      <c r="N30" s="71">
        <f t="shared" si="2"/>
        <v>16</v>
      </c>
      <c r="O30" s="72">
        <f t="shared" si="3"/>
        <v>4018.65</v>
      </c>
      <c r="P30" s="274">
        <f t="shared" si="4"/>
        <v>64298.400000000001</v>
      </c>
      <c r="Q30" s="296">
        <v>16</v>
      </c>
      <c r="R30" s="289"/>
      <c r="S30" s="190" t="s">
        <v>1009</v>
      </c>
      <c r="U30" s="191"/>
      <c r="V30" s="191"/>
    </row>
    <row r="31" spans="2:24" s="121" customFormat="1" ht="22.5" x14ac:dyDescent="0.2">
      <c r="B31" s="120"/>
      <c r="C31" s="56" t="s">
        <v>147</v>
      </c>
      <c r="D31" s="56" t="s">
        <v>96</v>
      </c>
      <c r="E31" s="57" t="s">
        <v>428</v>
      </c>
      <c r="F31" s="58" t="s">
        <v>429</v>
      </c>
      <c r="G31" s="59" t="s">
        <v>108</v>
      </c>
      <c r="H31" s="60">
        <v>70</v>
      </c>
      <c r="I31" s="61">
        <v>99.96</v>
      </c>
      <c r="J31" s="60">
        <v>6997.2</v>
      </c>
      <c r="K31" s="68">
        <f>ROUND(H31/$H$91*$K$91,2)</f>
        <v>-3.82</v>
      </c>
      <c r="L31" s="69">
        <f t="shared" si="0"/>
        <v>99.96</v>
      </c>
      <c r="M31" s="273">
        <f t="shared" si="1"/>
        <v>-381.84719999999999</v>
      </c>
      <c r="N31" s="71">
        <f t="shared" si="2"/>
        <v>66.180000000000007</v>
      </c>
      <c r="O31" s="72">
        <f t="shared" si="3"/>
        <v>99.96</v>
      </c>
      <c r="P31" s="274">
        <f t="shared" si="4"/>
        <v>6615.3528000000006</v>
      </c>
      <c r="Q31" s="296">
        <v>70</v>
      </c>
      <c r="R31" s="289"/>
      <c r="S31" s="186" t="s">
        <v>1010</v>
      </c>
      <c r="T31" s="186" t="s">
        <v>1068</v>
      </c>
      <c r="U31" s="191" t="s">
        <v>1082</v>
      </c>
      <c r="V31" s="190" t="s">
        <v>1096</v>
      </c>
      <c r="W31" s="121" t="s">
        <v>1105</v>
      </c>
      <c r="X31" s="121" t="s">
        <v>1108</v>
      </c>
    </row>
    <row r="32" spans="2:24" s="121" customFormat="1" ht="12" x14ac:dyDescent="0.2">
      <c r="B32" s="120"/>
      <c r="C32" s="56" t="s">
        <v>151</v>
      </c>
      <c r="D32" s="56" t="s">
        <v>96</v>
      </c>
      <c r="E32" s="57" t="s">
        <v>477</v>
      </c>
      <c r="F32" s="58" t="s">
        <v>478</v>
      </c>
      <c r="G32" s="59" t="s">
        <v>108</v>
      </c>
      <c r="H32" s="60">
        <v>47.7</v>
      </c>
      <c r="I32" s="61">
        <v>99.96</v>
      </c>
      <c r="J32" s="60">
        <v>4768.1000000000004</v>
      </c>
      <c r="K32" s="68">
        <f>ROUND(H32/$H$91*$K$91,2)</f>
        <v>-2.6</v>
      </c>
      <c r="L32" s="69">
        <f t="shared" si="0"/>
        <v>99.96</v>
      </c>
      <c r="M32" s="273">
        <f t="shared" si="1"/>
        <v>-259.89600000000002</v>
      </c>
      <c r="N32" s="71">
        <f t="shared" si="2"/>
        <v>45.1</v>
      </c>
      <c r="O32" s="72">
        <f t="shared" si="3"/>
        <v>99.96</v>
      </c>
      <c r="P32" s="274">
        <f t="shared" si="4"/>
        <v>4508.1959999999999</v>
      </c>
      <c r="Q32" s="296">
        <v>47.7</v>
      </c>
      <c r="R32" s="289"/>
      <c r="U32" s="191"/>
      <c r="V32" s="191"/>
    </row>
    <row r="33" spans="2:28" s="121" customFormat="1" ht="22.5" x14ac:dyDescent="0.2">
      <c r="B33" s="120"/>
      <c r="C33" s="56" t="s">
        <v>154</v>
      </c>
      <c r="D33" s="56" t="s">
        <v>96</v>
      </c>
      <c r="E33" s="57" t="s">
        <v>430</v>
      </c>
      <c r="F33" s="58" t="s">
        <v>431</v>
      </c>
      <c r="G33" s="59" t="s">
        <v>108</v>
      </c>
      <c r="H33" s="60">
        <v>70</v>
      </c>
      <c r="I33" s="61">
        <v>149.94</v>
      </c>
      <c r="J33" s="60">
        <v>10495.8</v>
      </c>
      <c r="K33" s="68">
        <f>ROUND(H33/$H$91*$K$91,2)</f>
        <v>-3.82</v>
      </c>
      <c r="L33" s="69">
        <f t="shared" si="0"/>
        <v>149.94</v>
      </c>
      <c r="M33" s="273">
        <f t="shared" si="1"/>
        <v>-572.77080000000001</v>
      </c>
      <c r="N33" s="71">
        <f t="shared" si="2"/>
        <v>66.180000000000007</v>
      </c>
      <c r="O33" s="72">
        <f t="shared" si="3"/>
        <v>149.94</v>
      </c>
      <c r="P33" s="274">
        <f t="shared" si="4"/>
        <v>9923.0292000000009</v>
      </c>
      <c r="Q33" s="296">
        <v>70</v>
      </c>
      <c r="R33" s="289"/>
      <c r="S33" s="186" t="s">
        <v>1010</v>
      </c>
      <c r="T33" s="186" t="s">
        <v>1068</v>
      </c>
      <c r="U33" s="191" t="s">
        <v>1082</v>
      </c>
      <c r="V33" s="190" t="s">
        <v>1096</v>
      </c>
      <c r="W33" s="121" t="s">
        <v>1105</v>
      </c>
      <c r="X33" s="121" t="s">
        <v>1108</v>
      </c>
    </row>
    <row r="34" spans="2:28" s="121" customFormat="1" ht="12" x14ac:dyDescent="0.2">
      <c r="B34" s="120"/>
      <c r="C34" s="56" t="s">
        <v>1</v>
      </c>
      <c r="D34" s="56" t="s">
        <v>96</v>
      </c>
      <c r="E34" s="57" t="s">
        <v>479</v>
      </c>
      <c r="F34" s="58" t="s">
        <v>480</v>
      </c>
      <c r="G34" s="59" t="s">
        <v>108</v>
      </c>
      <c r="H34" s="60">
        <v>47.7</v>
      </c>
      <c r="I34" s="61">
        <v>149.94</v>
      </c>
      <c r="J34" s="60">
        <v>7152.1</v>
      </c>
      <c r="K34" s="68"/>
      <c r="L34" s="69">
        <f t="shared" si="0"/>
        <v>149.94</v>
      </c>
      <c r="M34" s="273">
        <f t="shared" si="1"/>
        <v>0</v>
      </c>
      <c r="N34" s="71">
        <f t="shared" si="2"/>
        <v>47.7</v>
      </c>
      <c r="O34" s="72">
        <f t="shared" si="3"/>
        <v>149.94</v>
      </c>
      <c r="P34" s="274">
        <f t="shared" si="4"/>
        <v>7152.1379999999999</v>
      </c>
      <c r="Q34" s="296">
        <v>47.7</v>
      </c>
      <c r="R34" s="289"/>
      <c r="U34" s="191"/>
      <c r="V34" s="191"/>
    </row>
    <row r="35" spans="2:28" s="121" customFormat="1" ht="12" x14ac:dyDescent="0.2">
      <c r="B35" s="120"/>
      <c r="C35" s="56" t="s">
        <v>159</v>
      </c>
      <c r="D35" s="56" t="s">
        <v>96</v>
      </c>
      <c r="E35" s="57" t="s">
        <v>175</v>
      </c>
      <c r="F35" s="58" t="s">
        <v>176</v>
      </c>
      <c r="G35" s="59" t="s">
        <v>108</v>
      </c>
      <c r="H35" s="60">
        <v>1544.64</v>
      </c>
      <c r="I35" s="61">
        <v>99.96</v>
      </c>
      <c r="J35" s="60">
        <v>154402.20000000001</v>
      </c>
      <c r="K35" s="68">
        <f>ROUND(H35/$H$91*$K$91,2)</f>
        <v>-84.21</v>
      </c>
      <c r="L35" s="69">
        <f t="shared" si="0"/>
        <v>99.96</v>
      </c>
      <c r="M35" s="273">
        <f t="shared" si="1"/>
        <v>-8417.6315999999988</v>
      </c>
      <c r="N35" s="71">
        <f t="shared" si="2"/>
        <v>1460.43</v>
      </c>
      <c r="O35" s="72">
        <f t="shared" si="3"/>
        <v>99.96</v>
      </c>
      <c r="P35" s="274">
        <f t="shared" si="4"/>
        <v>145984.5828</v>
      </c>
      <c r="Q35" s="296">
        <v>1326.82</v>
      </c>
      <c r="R35" s="289"/>
    </row>
    <row r="36" spans="2:28" s="121" customFormat="1" ht="12" x14ac:dyDescent="0.2">
      <c r="B36" s="120"/>
      <c r="C36" s="56" t="s">
        <v>162</v>
      </c>
      <c r="D36" s="56" t="s">
        <v>96</v>
      </c>
      <c r="E36" s="57" t="s">
        <v>178</v>
      </c>
      <c r="F36" s="58" t="s">
        <v>179</v>
      </c>
      <c r="G36" s="59" t="s">
        <v>108</v>
      </c>
      <c r="H36" s="60">
        <v>11.08</v>
      </c>
      <c r="I36" s="61">
        <v>99.96</v>
      </c>
      <c r="J36" s="60">
        <v>1107.5999999999999</v>
      </c>
      <c r="K36" s="68"/>
      <c r="L36" s="69">
        <f t="shared" si="0"/>
        <v>99.96</v>
      </c>
      <c r="M36" s="273">
        <f t="shared" si="1"/>
        <v>0</v>
      </c>
      <c r="N36" s="71">
        <f t="shared" si="2"/>
        <v>11.08</v>
      </c>
      <c r="O36" s="72">
        <f t="shared" si="3"/>
        <v>99.96</v>
      </c>
      <c r="P36" s="274">
        <f t="shared" si="4"/>
        <v>1107.5567999999998</v>
      </c>
      <c r="Q36" s="296">
        <v>11.08</v>
      </c>
      <c r="R36" s="289"/>
    </row>
    <row r="37" spans="2:28" s="121" customFormat="1" ht="12" x14ac:dyDescent="0.2">
      <c r="B37" s="120"/>
      <c r="C37" s="56" t="s">
        <v>165</v>
      </c>
      <c r="D37" s="56" t="s">
        <v>96</v>
      </c>
      <c r="E37" s="57" t="s">
        <v>181</v>
      </c>
      <c r="F37" s="58" t="s">
        <v>182</v>
      </c>
      <c r="G37" s="59" t="s">
        <v>108</v>
      </c>
      <c r="H37" s="60">
        <v>1544.64</v>
      </c>
      <c r="I37" s="61">
        <v>149.94</v>
      </c>
      <c r="J37" s="60">
        <v>231603.3</v>
      </c>
      <c r="K37" s="68">
        <f>ROUND(H37/$H$91*$K$91,2)</f>
        <v>-84.21</v>
      </c>
      <c r="L37" s="69">
        <f t="shared" si="0"/>
        <v>149.94</v>
      </c>
      <c r="M37" s="273">
        <f t="shared" si="1"/>
        <v>-12626.447399999999</v>
      </c>
      <c r="N37" s="71">
        <f t="shared" si="2"/>
        <v>1460.43</v>
      </c>
      <c r="O37" s="72">
        <f t="shared" si="3"/>
        <v>149.94</v>
      </c>
      <c r="P37" s="274">
        <f t="shared" si="4"/>
        <v>218976.87420000002</v>
      </c>
      <c r="Q37" s="296">
        <v>1326.82</v>
      </c>
      <c r="R37" s="289"/>
    </row>
    <row r="38" spans="2:28" s="121" customFormat="1" ht="12" x14ac:dyDescent="0.2">
      <c r="B38" s="120"/>
      <c r="C38" s="56" t="s">
        <v>168</v>
      </c>
      <c r="D38" s="56" t="s">
        <v>96</v>
      </c>
      <c r="E38" s="57" t="s">
        <v>184</v>
      </c>
      <c r="F38" s="58" t="s">
        <v>185</v>
      </c>
      <c r="G38" s="59" t="s">
        <v>108</v>
      </c>
      <c r="H38" s="60">
        <v>11.08</v>
      </c>
      <c r="I38" s="61">
        <v>149.94</v>
      </c>
      <c r="J38" s="60">
        <v>1661.3</v>
      </c>
      <c r="K38" s="68"/>
      <c r="L38" s="69">
        <f t="shared" si="0"/>
        <v>149.94</v>
      </c>
      <c r="M38" s="273">
        <f t="shared" si="1"/>
        <v>0</v>
      </c>
      <c r="N38" s="71">
        <f t="shared" si="2"/>
        <v>11.08</v>
      </c>
      <c r="O38" s="72">
        <f t="shared" si="3"/>
        <v>149.94</v>
      </c>
      <c r="P38" s="274">
        <f t="shared" si="4"/>
        <v>1661.3352</v>
      </c>
      <c r="Q38" s="296">
        <v>11.08</v>
      </c>
      <c r="R38" s="289"/>
    </row>
    <row r="39" spans="2:28" s="121" customFormat="1" ht="12" x14ac:dyDescent="0.2">
      <c r="B39" s="120"/>
      <c r="C39" s="56" t="s">
        <v>171</v>
      </c>
      <c r="D39" s="56" t="s">
        <v>96</v>
      </c>
      <c r="E39" s="57" t="s">
        <v>187</v>
      </c>
      <c r="F39" s="58" t="s">
        <v>188</v>
      </c>
      <c r="G39" s="59" t="s">
        <v>150</v>
      </c>
      <c r="H39" s="60">
        <v>1381.11</v>
      </c>
      <c r="I39" s="61">
        <v>97.98</v>
      </c>
      <c r="J39" s="60">
        <v>135321.20000000001</v>
      </c>
      <c r="K39" s="68">
        <f t="shared" ref="K39:K47" si="5">ROUND(H39/$H$91*$K$91,2)</f>
        <v>-75.3</v>
      </c>
      <c r="L39" s="69">
        <f t="shared" si="0"/>
        <v>97.98</v>
      </c>
      <c r="M39" s="273">
        <f t="shared" si="1"/>
        <v>-7377.8940000000002</v>
      </c>
      <c r="N39" s="71">
        <f t="shared" si="2"/>
        <v>1305.81</v>
      </c>
      <c r="O39" s="72">
        <f t="shared" si="3"/>
        <v>97.98</v>
      </c>
      <c r="P39" s="274">
        <f t="shared" si="4"/>
        <v>127943.2638</v>
      </c>
      <c r="Q39" s="296">
        <v>1283.55</v>
      </c>
      <c r="R39" s="289"/>
    </row>
    <row r="40" spans="2:28" s="121" customFormat="1" ht="12" x14ac:dyDescent="0.2">
      <c r="B40" s="120"/>
      <c r="C40" s="56" t="s">
        <v>174</v>
      </c>
      <c r="D40" s="56" t="s">
        <v>96</v>
      </c>
      <c r="E40" s="57" t="s">
        <v>190</v>
      </c>
      <c r="F40" s="58" t="s">
        <v>191</v>
      </c>
      <c r="G40" s="59" t="s">
        <v>150</v>
      </c>
      <c r="H40" s="60">
        <v>281.39999999999998</v>
      </c>
      <c r="I40" s="61">
        <v>247.39</v>
      </c>
      <c r="J40" s="60">
        <v>69615.5</v>
      </c>
      <c r="K40" s="68">
        <f t="shared" si="5"/>
        <v>-15.34</v>
      </c>
      <c r="L40" s="69">
        <f t="shared" si="0"/>
        <v>247.39</v>
      </c>
      <c r="M40" s="273">
        <f t="shared" si="1"/>
        <v>-3794.9625999999998</v>
      </c>
      <c r="N40" s="71">
        <f t="shared" si="2"/>
        <v>266.06</v>
      </c>
      <c r="O40" s="72">
        <f t="shared" si="3"/>
        <v>247.39</v>
      </c>
      <c r="P40" s="274">
        <f t="shared" si="4"/>
        <v>65820.583400000003</v>
      </c>
      <c r="Q40" s="296">
        <v>246.99</v>
      </c>
      <c r="R40" s="289"/>
    </row>
    <row r="41" spans="2:28" s="121" customFormat="1" ht="12" x14ac:dyDescent="0.2">
      <c r="B41" s="120"/>
      <c r="C41" s="56" t="s">
        <v>177</v>
      </c>
      <c r="D41" s="56" t="s">
        <v>96</v>
      </c>
      <c r="E41" s="57" t="s">
        <v>193</v>
      </c>
      <c r="F41" s="58" t="s">
        <v>194</v>
      </c>
      <c r="G41" s="59" t="s">
        <v>150</v>
      </c>
      <c r="H41" s="60">
        <v>281.39999999999998</v>
      </c>
      <c r="I41" s="61">
        <v>44.72</v>
      </c>
      <c r="J41" s="60">
        <v>12584.2</v>
      </c>
      <c r="K41" s="68">
        <f t="shared" si="5"/>
        <v>-15.34</v>
      </c>
      <c r="L41" s="69">
        <f t="shared" si="0"/>
        <v>44.72</v>
      </c>
      <c r="M41" s="273">
        <f t="shared" si="1"/>
        <v>-686.00479999999993</v>
      </c>
      <c r="N41" s="71">
        <f t="shared" si="2"/>
        <v>266.06</v>
      </c>
      <c r="O41" s="72">
        <f t="shared" si="3"/>
        <v>44.72</v>
      </c>
      <c r="P41" s="274">
        <f t="shared" si="4"/>
        <v>11898.2032</v>
      </c>
      <c r="Q41" s="296">
        <v>246.99</v>
      </c>
      <c r="R41" s="289"/>
    </row>
    <row r="42" spans="2:28" s="121" customFormat="1" ht="12" x14ac:dyDescent="0.2">
      <c r="B42" s="120"/>
      <c r="C42" s="56" t="s">
        <v>180</v>
      </c>
      <c r="D42" s="56" t="s">
        <v>96</v>
      </c>
      <c r="E42" s="57" t="s">
        <v>196</v>
      </c>
      <c r="F42" s="58" t="s">
        <v>197</v>
      </c>
      <c r="G42" s="59" t="s">
        <v>150</v>
      </c>
      <c r="H42" s="60">
        <v>281.39999999999998</v>
      </c>
      <c r="I42" s="61">
        <v>11.84</v>
      </c>
      <c r="J42" s="60">
        <v>3331.8</v>
      </c>
      <c r="K42" s="68">
        <f t="shared" si="5"/>
        <v>-15.34</v>
      </c>
      <c r="L42" s="69">
        <f t="shared" si="0"/>
        <v>11.84</v>
      </c>
      <c r="M42" s="273">
        <f t="shared" si="1"/>
        <v>-181.62559999999999</v>
      </c>
      <c r="N42" s="71">
        <f t="shared" si="2"/>
        <v>266.06</v>
      </c>
      <c r="O42" s="72">
        <f t="shared" si="3"/>
        <v>11.84</v>
      </c>
      <c r="P42" s="274">
        <f t="shared" si="4"/>
        <v>3150.1504</v>
      </c>
      <c r="Q42" s="296">
        <v>246.99</v>
      </c>
      <c r="R42" s="289"/>
    </row>
    <row r="43" spans="2:28" s="121" customFormat="1" ht="12" x14ac:dyDescent="0.2">
      <c r="B43" s="120"/>
      <c r="C43" s="56" t="s">
        <v>183</v>
      </c>
      <c r="D43" s="56" t="s">
        <v>96</v>
      </c>
      <c r="E43" s="57" t="s">
        <v>199</v>
      </c>
      <c r="F43" s="58" t="s">
        <v>200</v>
      </c>
      <c r="G43" s="59" t="s">
        <v>201</v>
      </c>
      <c r="H43" s="60">
        <v>562.79999999999995</v>
      </c>
      <c r="I43" s="61">
        <v>116</v>
      </c>
      <c r="J43" s="60">
        <v>65284.800000000003</v>
      </c>
      <c r="K43" s="68">
        <f t="shared" si="5"/>
        <v>-30.68</v>
      </c>
      <c r="L43" s="69">
        <f t="shared" si="0"/>
        <v>116</v>
      </c>
      <c r="M43" s="273">
        <f t="shared" si="1"/>
        <v>-3558.88</v>
      </c>
      <c r="N43" s="71">
        <f t="shared" si="2"/>
        <v>532.12</v>
      </c>
      <c r="O43" s="72">
        <f t="shared" si="3"/>
        <v>116</v>
      </c>
      <c r="P43" s="274">
        <f t="shared" si="4"/>
        <v>61725.919999999998</v>
      </c>
      <c r="Q43" s="296">
        <v>493.98</v>
      </c>
      <c r="R43" s="289"/>
    </row>
    <row r="44" spans="2:28" s="121" customFormat="1" ht="12" x14ac:dyDescent="0.2">
      <c r="B44" s="120"/>
      <c r="C44" s="56" t="s">
        <v>186</v>
      </c>
      <c r="D44" s="56" t="s">
        <v>96</v>
      </c>
      <c r="E44" s="57" t="s">
        <v>203</v>
      </c>
      <c r="F44" s="58" t="s">
        <v>204</v>
      </c>
      <c r="G44" s="59" t="s">
        <v>150</v>
      </c>
      <c r="H44" s="60">
        <v>548.19000000000005</v>
      </c>
      <c r="I44" s="61">
        <v>143.36000000000001</v>
      </c>
      <c r="J44" s="60">
        <v>78588.5</v>
      </c>
      <c r="K44" s="68">
        <f t="shared" si="5"/>
        <v>-29.89</v>
      </c>
      <c r="L44" s="69">
        <f t="shared" si="0"/>
        <v>143.36000000000001</v>
      </c>
      <c r="M44" s="273">
        <f t="shared" si="1"/>
        <v>-4285.0304000000006</v>
      </c>
      <c r="N44" s="71">
        <f t="shared" si="2"/>
        <v>518.30000000000007</v>
      </c>
      <c r="O44" s="72">
        <f t="shared" si="3"/>
        <v>143.36000000000001</v>
      </c>
      <c r="P44" s="274">
        <f t="shared" si="4"/>
        <v>74303.488000000012</v>
      </c>
      <c r="Q44" s="296">
        <v>485.04</v>
      </c>
      <c r="R44" s="289"/>
      <c r="AB44" s="188"/>
    </row>
    <row r="45" spans="2:28" s="121" customFormat="1" ht="12" x14ac:dyDescent="0.2">
      <c r="B45" s="120"/>
      <c r="C45" s="56" t="s">
        <v>189</v>
      </c>
      <c r="D45" s="56" t="s">
        <v>96</v>
      </c>
      <c r="E45" s="57" t="s">
        <v>206</v>
      </c>
      <c r="F45" s="58" t="s">
        <v>207</v>
      </c>
      <c r="G45" s="59" t="s">
        <v>150</v>
      </c>
      <c r="H45" s="60">
        <v>185.57</v>
      </c>
      <c r="I45" s="61">
        <v>318.27999999999997</v>
      </c>
      <c r="J45" s="60">
        <v>59063.199999999997</v>
      </c>
      <c r="K45" s="68">
        <f t="shared" si="5"/>
        <v>-10.119999999999999</v>
      </c>
      <c r="L45" s="69">
        <f t="shared" si="0"/>
        <v>318.27999999999997</v>
      </c>
      <c r="M45" s="273">
        <f t="shared" si="1"/>
        <v>-3220.9935999999993</v>
      </c>
      <c r="N45" s="71">
        <f t="shared" si="2"/>
        <v>175.45</v>
      </c>
      <c r="O45" s="72">
        <f t="shared" si="3"/>
        <v>318.27999999999997</v>
      </c>
      <c r="P45" s="274">
        <f t="shared" si="4"/>
        <v>55842.225999999995</v>
      </c>
      <c r="Q45" s="296">
        <v>158.81</v>
      </c>
      <c r="R45" s="289"/>
    </row>
    <row r="46" spans="2:28" s="121" customFormat="1" ht="12" x14ac:dyDescent="0.2">
      <c r="B46" s="120"/>
      <c r="C46" s="73" t="s">
        <v>192</v>
      </c>
      <c r="D46" s="73" t="s">
        <v>209</v>
      </c>
      <c r="E46" s="74" t="s">
        <v>210</v>
      </c>
      <c r="F46" s="75" t="s">
        <v>211</v>
      </c>
      <c r="G46" s="76" t="s">
        <v>201</v>
      </c>
      <c r="H46" s="77">
        <v>371.14</v>
      </c>
      <c r="I46" s="78">
        <v>172.71</v>
      </c>
      <c r="J46" s="77">
        <v>64099.6</v>
      </c>
      <c r="K46" s="68">
        <f t="shared" si="5"/>
        <v>-20.23</v>
      </c>
      <c r="L46" s="69">
        <f t="shared" si="0"/>
        <v>172.71</v>
      </c>
      <c r="M46" s="273">
        <f t="shared" si="1"/>
        <v>-3493.9233000000004</v>
      </c>
      <c r="N46" s="71">
        <f t="shared" si="2"/>
        <v>350.90999999999997</v>
      </c>
      <c r="O46" s="72">
        <f t="shared" si="3"/>
        <v>172.71</v>
      </c>
      <c r="P46" s="274">
        <f t="shared" si="4"/>
        <v>60605.666099999995</v>
      </c>
      <c r="Q46" s="296">
        <v>317.62</v>
      </c>
      <c r="R46" s="289"/>
    </row>
    <row r="47" spans="2:28" s="121" customFormat="1" ht="12" x14ac:dyDescent="0.2">
      <c r="B47" s="120"/>
      <c r="C47" s="56" t="s">
        <v>195</v>
      </c>
      <c r="D47" s="56" t="s">
        <v>96</v>
      </c>
      <c r="E47" s="57" t="s">
        <v>213</v>
      </c>
      <c r="F47" s="58" t="s">
        <v>214</v>
      </c>
      <c r="G47" s="59" t="s">
        <v>108</v>
      </c>
      <c r="H47" s="60">
        <v>24.3</v>
      </c>
      <c r="I47" s="61">
        <v>53.92</v>
      </c>
      <c r="J47" s="60">
        <v>1310.3</v>
      </c>
      <c r="K47" s="68">
        <f t="shared" si="5"/>
        <v>-1.32</v>
      </c>
      <c r="L47" s="69">
        <f t="shared" si="0"/>
        <v>53.92</v>
      </c>
      <c r="M47" s="273">
        <f t="shared" si="1"/>
        <v>-71.174400000000006</v>
      </c>
      <c r="N47" s="71">
        <f t="shared" si="2"/>
        <v>22.98</v>
      </c>
      <c r="O47" s="72">
        <f t="shared" si="3"/>
        <v>53.92</v>
      </c>
      <c r="P47" s="274">
        <f t="shared" si="4"/>
        <v>1239.0816</v>
      </c>
      <c r="Q47" s="296">
        <v>24.3</v>
      </c>
      <c r="R47" s="289"/>
    </row>
    <row r="48" spans="2:28" s="170" customFormat="1" ht="12.75" x14ac:dyDescent="0.2">
      <c r="B48" s="165"/>
      <c r="C48" s="252"/>
      <c r="D48" s="253" t="s">
        <v>4</v>
      </c>
      <c r="E48" s="254" t="s">
        <v>13</v>
      </c>
      <c r="F48" s="254" t="s">
        <v>222</v>
      </c>
      <c r="G48" s="252"/>
      <c r="H48" s="252"/>
      <c r="I48" s="255"/>
      <c r="J48" s="256">
        <f>+SUBTOTAL(9,J49:J50)</f>
        <v>12282.8</v>
      </c>
      <c r="K48" s="261"/>
      <c r="L48" s="262"/>
      <c r="M48" s="279">
        <f>SUM(M49:M50)</f>
        <v>-669.63620000000003</v>
      </c>
      <c r="N48" s="280"/>
      <c r="O48" s="262"/>
      <c r="P48" s="279">
        <f>SUM(P49:P50)</f>
        <v>11613.077999999998</v>
      </c>
      <c r="Q48" s="297"/>
      <c r="R48" s="290"/>
    </row>
    <row r="49" spans="2:37" s="121" customFormat="1" ht="12" x14ac:dyDescent="0.2">
      <c r="B49" s="120"/>
      <c r="C49" s="56" t="s">
        <v>198</v>
      </c>
      <c r="D49" s="56" t="s">
        <v>96</v>
      </c>
      <c r="E49" s="57" t="s">
        <v>224</v>
      </c>
      <c r="F49" s="58" t="s">
        <v>225</v>
      </c>
      <c r="G49" s="59" t="s">
        <v>133</v>
      </c>
      <c r="H49" s="60">
        <v>311.27</v>
      </c>
      <c r="I49" s="61">
        <v>32.880000000000003</v>
      </c>
      <c r="J49" s="60">
        <v>10234.6</v>
      </c>
      <c r="K49" s="68">
        <v>-16.97</v>
      </c>
      <c r="L49" s="69">
        <f t="shared" si="0"/>
        <v>32.880000000000003</v>
      </c>
      <c r="M49" s="273">
        <f t="shared" si="1"/>
        <v>-557.97360000000003</v>
      </c>
      <c r="N49" s="71">
        <f t="shared" si="2"/>
        <v>294.29999999999995</v>
      </c>
      <c r="O49" s="72">
        <f t="shared" si="3"/>
        <v>32.880000000000003</v>
      </c>
      <c r="P49" s="274">
        <f t="shared" si="4"/>
        <v>9676.5839999999989</v>
      </c>
      <c r="Q49" s="296">
        <v>263.14</v>
      </c>
      <c r="R49" s="289"/>
    </row>
    <row r="50" spans="2:37" s="121" customFormat="1" ht="12" x14ac:dyDescent="0.2">
      <c r="B50" s="120"/>
      <c r="C50" s="56" t="s">
        <v>202</v>
      </c>
      <c r="D50" s="56" t="s">
        <v>96</v>
      </c>
      <c r="E50" s="57" t="s">
        <v>227</v>
      </c>
      <c r="F50" s="58" t="s">
        <v>228</v>
      </c>
      <c r="G50" s="59" t="s">
        <v>133</v>
      </c>
      <c r="H50" s="60">
        <v>311.27</v>
      </c>
      <c r="I50" s="61">
        <v>6.58</v>
      </c>
      <c r="J50" s="60">
        <v>2048.1999999999998</v>
      </c>
      <c r="K50" s="68">
        <v>-16.97</v>
      </c>
      <c r="L50" s="69">
        <f t="shared" si="0"/>
        <v>6.58</v>
      </c>
      <c r="M50" s="273">
        <f t="shared" si="1"/>
        <v>-111.6626</v>
      </c>
      <c r="N50" s="71">
        <f t="shared" si="2"/>
        <v>294.29999999999995</v>
      </c>
      <c r="O50" s="72">
        <f t="shared" si="3"/>
        <v>6.58</v>
      </c>
      <c r="P50" s="274">
        <f t="shared" si="4"/>
        <v>1936.4939999999997</v>
      </c>
      <c r="Q50" s="296">
        <v>263.14</v>
      </c>
      <c r="R50" s="289"/>
    </row>
    <row r="51" spans="2:37" s="170" customFormat="1" ht="12.75" x14ac:dyDescent="0.2">
      <c r="B51" s="165"/>
      <c r="C51" s="252"/>
      <c r="D51" s="253" t="s">
        <v>4</v>
      </c>
      <c r="E51" s="254" t="s">
        <v>100</v>
      </c>
      <c r="F51" s="254" t="s">
        <v>229</v>
      </c>
      <c r="G51" s="252"/>
      <c r="H51" s="252"/>
      <c r="I51" s="255"/>
      <c r="J51" s="256">
        <f>+SUBTOTAL(9,J52:J61)</f>
        <v>153831</v>
      </c>
      <c r="K51" s="261"/>
      <c r="L51" s="262"/>
      <c r="M51" s="279">
        <f>SUM(M52:M61)</f>
        <v>-8101.6085999999996</v>
      </c>
      <c r="N51" s="280"/>
      <c r="O51" s="262"/>
      <c r="P51" s="279">
        <f>SUM(P52:P61)</f>
        <v>145729.3547</v>
      </c>
      <c r="Q51" s="297"/>
      <c r="R51" s="290"/>
    </row>
    <row r="52" spans="2:37" s="121" customFormat="1" ht="12" x14ac:dyDescent="0.2">
      <c r="B52" s="120"/>
      <c r="C52" s="56" t="s">
        <v>205</v>
      </c>
      <c r="D52" s="56" t="s">
        <v>96</v>
      </c>
      <c r="E52" s="57" t="s">
        <v>481</v>
      </c>
      <c r="F52" s="58" t="s">
        <v>482</v>
      </c>
      <c r="G52" s="59" t="s">
        <v>150</v>
      </c>
      <c r="H52" s="60">
        <v>0.38</v>
      </c>
      <c r="I52" s="61">
        <v>644.70000000000005</v>
      </c>
      <c r="J52" s="60">
        <v>245</v>
      </c>
      <c r="K52" s="68">
        <f>ROUND(H52/$H$91*$K$91,2)</f>
        <v>-0.02</v>
      </c>
      <c r="L52" s="69">
        <f t="shared" si="0"/>
        <v>644.70000000000005</v>
      </c>
      <c r="M52" s="273">
        <f t="shared" si="1"/>
        <v>-12.894000000000002</v>
      </c>
      <c r="N52" s="71">
        <f t="shared" si="2"/>
        <v>0.36</v>
      </c>
      <c r="O52" s="72">
        <f t="shared" si="3"/>
        <v>644.70000000000005</v>
      </c>
      <c r="P52" s="274">
        <f t="shared" si="4"/>
        <v>232.09200000000001</v>
      </c>
      <c r="Q52" s="296">
        <v>0.38</v>
      </c>
      <c r="R52" s="289"/>
    </row>
    <row r="53" spans="2:37" s="121" customFormat="1" ht="12" x14ac:dyDescent="0.2">
      <c r="B53" s="120"/>
      <c r="C53" s="56" t="s">
        <v>208</v>
      </c>
      <c r="D53" s="56" t="s">
        <v>96</v>
      </c>
      <c r="E53" s="57" t="s">
        <v>231</v>
      </c>
      <c r="F53" s="58" t="s">
        <v>232</v>
      </c>
      <c r="G53" s="59" t="s">
        <v>99</v>
      </c>
      <c r="H53" s="60">
        <v>7</v>
      </c>
      <c r="I53" s="61">
        <v>122.32</v>
      </c>
      <c r="J53" s="60">
        <v>856.2</v>
      </c>
      <c r="K53" s="68">
        <v>0</v>
      </c>
      <c r="L53" s="69">
        <f t="shared" si="0"/>
        <v>122.32</v>
      </c>
      <c r="M53" s="273">
        <f t="shared" si="1"/>
        <v>0</v>
      </c>
      <c r="N53" s="71">
        <f t="shared" si="2"/>
        <v>7</v>
      </c>
      <c r="O53" s="72">
        <f t="shared" si="3"/>
        <v>122.32</v>
      </c>
      <c r="P53" s="274">
        <f t="shared" si="4"/>
        <v>856.24</v>
      </c>
      <c r="Q53" s="296">
        <v>5</v>
      </c>
      <c r="R53" s="289"/>
    </row>
    <row r="54" spans="2:37" s="121" customFormat="1" ht="12" x14ac:dyDescent="0.2">
      <c r="B54" s="120"/>
      <c r="C54" s="73" t="s">
        <v>212</v>
      </c>
      <c r="D54" s="73" t="s">
        <v>209</v>
      </c>
      <c r="E54" s="74" t="s">
        <v>234</v>
      </c>
      <c r="F54" s="75" t="s">
        <v>235</v>
      </c>
      <c r="G54" s="76" t="s">
        <v>99</v>
      </c>
      <c r="H54" s="77">
        <v>1</v>
      </c>
      <c r="I54" s="78">
        <v>345.9</v>
      </c>
      <c r="J54" s="77">
        <v>345.9</v>
      </c>
      <c r="K54" s="68">
        <v>0</v>
      </c>
      <c r="L54" s="69">
        <f t="shared" si="0"/>
        <v>345.9</v>
      </c>
      <c r="M54" s="273">
        <f t="shared" si="1"/>
        <v>0</v>
      </c>
      <c r="N54" s="71">
        <f t="shared" si="2"/>
        <v>1</v>
      </c>
      <c r="O54" s="72">
        <f t="shared" si="3"/>
        <v>345.9</v>
      </c>
      <c r="P54" s="274">
        <f t="shared" si="4"/>
        <v>345.9</v>
      </c>
      <c r="Q54" s="296">
        <v>-1</v>
      </c>
      <c r="R54" s="289"/>
    </row>
    <row r="55" spans="2:37" s="121" customFormat="1" ht="12" x14ac:dyDescent="0.2">
      <c r="B55" s="120"/>
      <c r="C55" s="73" t="s">
        <v>215</v>
      </c>
      <c r="D55" s="73" t="s">
        <v>209</v>
      </c>
      <c r="E55" s="74" t="s">
        <v>237</v>
      </c>
      <c r="F55" s="75" t="s">
        <v>238</v>
      </c>
      <c r="G55" s="76" t="s">
        <v>99</v>
      </c>
      <c r="H55" s="77">
        <v>1</v>
      </c>
      <c r="I55" s="78">
        <v>313.02</v>
      </c>
      <c r="J55" s="77">
        <v>313</v>
      </c>
      <c r="K55" s="68">
        <v>0</v>
      </c>
      <c r="L55" s="69">
        <f t="shared" si="0"/>
        <v>313.02</v>
      </c>
      <c r="M55" s="273">
        <f t="shared" si="1"/>
        <v>0</v>
      </c>
      <c r="N55" s="71">
        <f t="shared" si="2"/>
        <v>1</v>
      </c>
      <c r="O55" s="72">
        <f t="shared" si="3"/>
        <v>313.02</v>
      </c>
      <c r="P55" s="274">
        <f t="shared" si="4"/>
        <v>313.02</v>
      </c>
      <c r="Q55" s="296">
        <v>1</v>
      </c>
      <c r="R55" s="289"/>
    </row>
    <row r="56" spans="2:37" s="121" customFormat="1" ht="12" x14ac:dyDescent="0.2">
      <c r="B56" s="120"/>
      <c r="C56" s="73" t="s">
        <v>219</v>
      </c>
      <c r="D56" s="73" t="s">
        <v>209</v>
      </c>
      <c r="E56" s="74" t="s">
        <v>240</v>
      </c>
      <c r="F56" s="75" t="s">
        <v>241</v>
      </c>
      <c r="G56" s="76" t="s">
        <v>99</v>
      </c>
      <c r="H56" s="77">
        <v>4</v>
      </c>
      <c r="I56" s="78">
        <v>270.94</v>
      </c>
      <c r="J56" s="77">
        <v>1083.8</v>
      </c>
      <c r="K56" s="68">
        <v>0</v>
      </c>
      <c r="L56" s="69">
        <f t="shared" si="0"/>
        <v>270.94</v>
      </c>
      <c r="M56" s="273">
        <f t="shared" si="1"/>
        <v>0</v>
      </c>
      <c r="N56" s="71">
        <f t="shared" si="2"/>
        <v>4</v>
      </c>
      <c r="O56" s="72">
        <f t="shared" si="3"/>
        <v>270.94</v>
      </c>
      <c r="P56" s="274">
        <f t="shared" si="4"/>
        <v>1083.76</v>
      </c>
      <c r="Q56" s="296">
        <v>4</v>
      </c>
      <c r="R56" s="289"/>
    </row>
    <row r="57" spans="2:37" s="121" customFormat="1" ht="12" x14ac:dyDescent="0.2">
      <c r="B57" s="120"/>
      <c r="C57" s="73" t="s">
        <v>223</v>
      </c>
      <c r="D57" s="73" t="s">
        <v>209</v>
      </c>
      <c r="E57" s="74" t="s">
        <v>243</v>
      </c>
      <c r="F57" s="75" t="s">
        <v>244</v>
      </c>
      <c r="G57" s="76" t="s">
        <v>99</v>
      </c>
      <c r="H57" s="77">
        <v>1</v>
      </c>
      <c r="I57" s="78">
        <v>220.96</v>
      </c>
      <c r="J57" s="77">
        <v>221</v>
      </c>
      <c r="K57" s="68">
        <v>0</v>
      </c>
      <c r="L57" s="69">
        <f t="shared" si="0"/>
        <v>220.96</v>
      </c>
      <c r="M57" s="273">
        <f t="shared" si="1"/>
        <v>0</v>
      </c>
      <c r="N57" s="71">
        <f t="shared" si="2"/>
        <v>1</v>
      </c>
      <c r="O57" s="72">
        <f t="shared" si="3"/>
        <v>220.96</v>
      </c>
      <c r="P57" s="274">
        <f t="shared" si="4"/>
        <v>220.96</v>
      </c>
      <c r="Q57" s="296">
        <v>1</v>
      </c>
      <c r="R57" s="289"/>
    </row>
    <row r="58" spans="2:37" s="121" customFormat="1" ht="12" x14ac:dyDescent="0.2">
      <c r="B58" s="120"/>
      <c r="C58" s="56" t="s">
        <v>226</v>
      </c>
      <c r="D58" s="56" t="s">
        <v>96</v>
      </c>
      <c r="E58" s="57" t="s">
        <v>246</v>
      </c>
      <c r="F58" s="58" t="s">
        <v>247</v>
      </c>
      <c r="G58" s="59" t="s">
        <v>99</v>
      </c>
      <c r="H58" s="60">
        <v>4</v>
      </c>
      <c r="I58" s="61">
        <v>152.57</v>
      </c>
      <c r="J58" s="60">
        <v>610.29999999999995</v>
      </c>
      <c r="K58" s="68">
        <v>0</v>
      </c>
      <c r="L58" s="69">
        <f t="shared" si="0"/>
        <v>152.57</v>
      </c>
      <c r="M58" s="273">
        <f t="shared" si="1"/>
        <v>0</v>
      </c>
      <c r="N58" s="71">
        <f t="shared" si="2"/>
        <v>4</v>
      </c>
      <c r="O58" s="72">
        <f t="shared" si="3"/>
        <v>152.57</v>
      </c>
      <c r="P58" s="274">
        <f t="shared" si="4"/>
        <v>610.28</v>
      </c>
      <c r="Q58" s="296">
        <v>4</v>
      </c>
      <c r="R58" s="289"/>
    </row>
    <row r="59" spans="2:37" s="121" customFormat="1" ht="12" x14ac:dyDescent="0.2">
      <c r="B59" s="120"/>
      <c r="C59" s="73" t="s">
        <v>230</v>
      </c>
      <c r="D59" s="73" t="s">
        <v>209</v>
      </c>
      <c r="E59" s="74" t="s">
        <v>249</v>
      </c>
      <c r="F59" s="75" t="s">
        <v>250</v>
      </c>
      <c r="G59" s="76" t="s">
        <v>99</v>
      </c>
      <c r="H59" s="77">
        <v>4</v>
      </c>
      <c r="I59" s="78">
        <v>395.88</v>
      </c>
      <c r="J59" s="77">
        <v>1583.5</v>
      </c>
      <c r="K59" s="68">
        <v>0</v>
      </c>
      <c r="L59" s="69">
        <f t="shared" si="0"/>
        <v>395.88</v>
      </c>
      <c r="M59" s="273">
        <f t="shared" si="1"/>
        <v>0</v>
      </c>
      <c r="N59" s="71">
        <f t="shared" si="2"/>
        <v>4</v>
      </c>
      <c r="O59" s="72">
        <f t="shared" si="3"/>
        <v>395.88</v>
      </c>
      <c r="P59" s="274">
        <f t="shared" si="4"/>
        <v>1583.52</v>
      </c>
      <c r="Q59" s="296">
        <v>4</v>
      </c>
      <c r="R59" s="289"/>
    </row>
    <row r="60" spans="2:37" s="121" customFormat="1" ht="12" x14ac:dyDescent="0.2">
      <c r="B60" s="120"/>
      <c r="C60" s="56" t="s">
        <v>233</v>
      </c>
      <c r="D60" s="56" t="s">
        <v>96</v>
      </c>
      <c r="E60" s="57" t="s">
        <v>252</v>
      </c>
      <c r="F60" s="58" t="s">
        <v>253</v>
      </c>
      <c r="G60" s="59" t="s">
        <v>150</v>
      </c>
      <c r="H60" s="60">
        <v>42.59</v>
      </c>
      <c r="I60" s="61">
        <v>3239.16</v>
      </c>
      <c r="J60" s="60">
        <v>137955.79999999999</v>
      </c>
      <c r="K60" s="68">
        <f>ROUND(H60/$H$91*$K$91,2)</f>
        <v>-2.3199999999999998</v>
      </c>
      <c r="L60" s="69">
        <f t="shared" si="0"/>
        <v>3239.16</v>
      </c>
      <c r="M60" s="273">
        <f t="shared" si="1"/>
        <v>-7514.8511999999992</v>
      </c>
      <c r="N60" s="71">
        <f t="shared" si="2"/>
        <v>40.270000000000003</v>
      </c>
      <c r="O60" s="72">
        <f t="shared" si="3"/>
        <v>3239.16</v>
      </c>
      <c r="P60" s="274">
        <f t="shared" si="4"/>
        <v>130440.97320000001</v>
      </c>
      <c r="Q60" s="296">
        <v>37.299999999999997</v>
      </c>
      <c r="R60" s="289"/>
    </row>
    <row r="61" spans="2:37" s="121" customFormat="1" ht="19.5" customHeight="1" x14ac:dyDescent="0.2">
      <c r="B61" s="120"/>
      <c r="C61" s="56" t="s">
        <v>236</v>
      </c>
      <c r="D61" s="56" t="s">
        <v>96</v>
      </c>
      <c r="E61" s="57" t="s">
        <v>255</v>
      </c>
      <c r="F61" s="58" t="s">
        <v>256</v>
      </c>
      <c r="G61" s="59" t="s">
        <v>150</v>
      </c>
      <c r="H61" s="60">
        <v>3.33</v>
      </c>
      <c r="I61" s="61">
        <v>3188.13</v>
      </c>
      <c r="J61" s="60">
        <v>10616.5</v>
      </c>
      <c r="K61" s="68">
        <f>ROUND(H61/$H$91*$K$91,2)</f>
        <v>-0.18</v>
      </c>
      <c r="L61" s="69">
        <f t="shared" si="0"/>
        <v>3188.13</v>
      </c>
      <c r="M61" s="273">
        <f t="shared" si="1"/>
        <v>-573.86339999999996</v>
      </c>
      <c r="N61" s="71">
        <f t="shared" si="2"/>
        <v>3.15</v>
      </c>
      <c r="O61" s="72">
        <f t="shared" si="3"/>
        <v>3188.13</v>
      </c>
      <c r="P61" s="274">
        <f t="shared" si="4"/>
        <v>10042.6095</v>
      </c>
      <c r="Q61" s="296">
        <v>1.99</v>
      </c>
      <c r="R61" s="289"/>
      <c r="T61" s="190" t="s">
        <v>1069</v>
      </c>
      <c r="U61" s="191" t="s">
        <v>1083</v>
      </c>
      <c r="V61" s="212" t="s">
        <v>1095</v>
      </c>
      <c r="Y61" s="190" t="s">
        <v>1116</v>
      </c>
      <c r="Z61" s="121" t="s">
        <v>1131</v>
      </c>
      <c r="AB61" s="190" t="s">
        <v>1137</v>
      </c>
      <c r="AC61" s="121" t="s">
        <v>931</v>
      </c>
      <c r="AG61" s="186" t="s">
        <v>1148</v>
      </c>
      <c r="AH61" s="121" t="s">
        <v>931</v>
      </c>
      <c r="AJ61" s="186" t="s">
        <v>1167</v>
      </c>
      <c r="AK61" s="121" t="s">
        <v>1081</v>
      </c>
    </row>
    <row r="62" spans="2:37" s="170" customFormat="1" ht="12.75" x14ac:dyDescent="0.2">
      <c r="B62" s="165"/>
      <c r="C62" s="252"/>
      <c r="D62" s="253" t="s">
        <v>4</v>
      </c>
      <c r="E62" s="254" t="s">
        <v>105</v>
      </c>
      <c r="F62" s="254" t="s">
        <v>257</v>
      </c>
      <c r="G62" s="252"/>
      <c r="H62" s="252"/>
      <c r="I62" s="255"/>
      <c r="J62" s="256">
        <f>+SUBTOTAL(9,J63:J67)</f>
        <v>588034.5</v>
      </c>
      <c r="K62" s="261"/>
      <c r="L62" s="262"/>
      <c r="M62" s="279">
        <f>SUM(M63:M67)</f>
        <v>0</v>
      </c>
      <c r="N62" s="280"/>
      <c r="O62" s="262"/>
      <c r="P62" s="279">
        <f>SUM(P63:P67)</f>
        <v>588034.43369999994</v>
      </c>
      <c r="Q62" s="297"/>
      <c r="R62" s="290"/>
    </row>
    <row r="63" spans="2:37" s="121" customFormat="1" ht="22.5" x14ac:dyDescent="0.2">
      <c r="B63" s="120"/>
      <c r="C63" s="56" t="s">
        <v>239</v>
      </c>
      <c r="D63" s="56" t="s">
        <v>96</v>
      </c>
      <c r="E63" s="57" t="s">
        <v>262</v>
      </c>
      <c r="F63" s="58" t="s">
        <v>263</v>
      </c>
      <c r="G63" s="59" t="s">
        <v>108</v>
      </c>
      <c r="H63" s="60">
        <v>352.17</v>
      </c>
      <c r="I63" s="61">
        <v>302.54000000000002</v>
      </c>
      <c r="J63" s="60">
        <v>106545.5</v>
      </c>
      <c r="K63" s="68">
        <v>0</v>
      </c>
      <c r="L63" s="69">
        <f t="shared" si="0"/>
        <v>302.54000000000002</v>
      </c>
      <c r="M63" s="273">
        <f t="shared" si="1"/>
        <v>0</v>
      </c>
      <c r="N63" s="71">
        <f t="shared" si="2"/>
        <v>352.17</v>
      </c>
      <c r="O63" s="72">
        <f t="shared" si="3"/>
        <v>302.54000000000002</v>
      </c>
      <c r="P63" s="274">
        <f t="shared" si="4"/>
        <v>106545.51180000001</v>
      </c>
      <c r="Q63" s="296">
        <v>302.2</v>
      </c>
      <c r="R63" s="289"/>
      <c r="AG63" s="186" t="s">
        <v>1149</v>
      </c>
      <c r="AH63" s="121" t="s">
        <v>1157</v>
      </c>
      <c r="AI63" s="190" t="s">
        <v>1160</v>
      </c>
    </row>
    <row r="64" spans="2:37" s="121" customFormat="1" ht="12" x14ac:dyDescent="0.2">
      <c r="B64" s="120"/>
      <c r="C64" s="56" t="s">
        <v>242</v>
      </c>
      <c r="D64" s="56" t="s">
        <v>96</v>
      </c>
      <c r="E64" s="57" t="s">
        <v>268</v>
      </c>
      <c r="F64" s="58" t="s">
        <v>269</v>
      </c>
      <c r="G64" s="59" t="s">
        <v>108</v>
      </c>
      <c r="H64" s="60">
        <v>352.17</v>
      </c>
      <c r="I64" s="61">
        <v>14.18</v>
      </c>
      <c r="J64" s="60">
        <v>4993.8</v>
      </c>
      <c r="K64" s="68">
        <v>0</v>
      </c>
      <c r="L64" s="69">
        <f t="shared" si="0"/>
        <v>14.18</v>
      </c>
      <c r="M64" s="273">
        <f t="shared" si="1"/>
        <v>0</v>
      </c>
      <c r="N64" s="71">
        <f t="shared" si="2"/>
        <v>352.17</v>
      </c>
      <c r="O64" s="72">
        <f t="shared" si="3"/>
        <v>14.18</v>
      </c>
      <c r="P64" s="274">
        <f t="shared" si="4"/>
        <v>4993.7705999999998</v>
      </c>
      <c r="Q64" s="296">
        <v>302.2</v>
      </c>
      <c r="R64" s="289"/>
    </row>
    <row r="65" spans="2:18" s="121" customFormat="1" ht="12" x14ac:dyDescent="0.2">
      <c r="B65" s="120"/>
      <c r="C65" s="56" t="s">
        <v>245</v>
      </c>
      <c r="D65" s="56" t="s">
        <v>96</v>
      </c>
      <c r="E65" s="57" t="s">
        <v>271</v>
      </c>
      <c r="F65" s="58" t="s">
        <v>272</v>
      </c>
      <c r="G65" s="59" t="s">
        <v>108</v>
      </c>
      <c r="H65" s="60">
        <v>669.62</v>
      </c>
      <c r="I65" s="61">
        <v>20.62</v>
      </c>
      <c r="J65" s="60">
        <v>13807.6</v>
      </c>
      <c r="K65" s="68">
        <v>0</v>
      </c>
      <c r="L65" s="69">
        <f t="shared" si="0"/>
        <v>20.62</v>
      </c>
      <c r="M65" s="273">
        <f t="shared" si="1"/>
        <v>0</v>
      </c>
      <c r="N65" s="71">
        <f t="shared" si="2"/>
        <v>669.62</v>
      </c>
      <c r="O65" s="72">
        <f t="shared" si="3"/>
        <v>20.62</v>
      </c>
      <c r="P65" s="274">
        <f t="shared" si="4"/>
        <v>13807.564400000001</v>
      </c>
      <c r="Q65" s="296">
        <v>571.52</v>
      </c>
      <c r="R65" s="289"/>
    </row>
    <row r="66" spans="2:18" s="121" customFormat="1" ht="12" x14ac:dyDescent="0.2">
      <c r="B66" s="120"/>
      <c r="C66" s="56" t="s">
        <v>248</v>
      </c>
      <c r="D66" s="56" t="s">
        <v>96</v>
      </c>
      <c r="E66" s="57" t="s">
        <v>274</v>
      </c>
      <c r="F66" s="58" t="s">
        <v>275</v>
      </c>
      <c r="G66" s="59" t="s">
        <v>108</v>
      </c>
      <c r="H66" s="60">
        <v>669.62</v>
      </c>
      <c r="I66" s="61">
        <v>396.71</v>
      </c>
      <c r="J66" s="60">
        <v>265645</v>
      </c>
      <c r="K66" s="68">
        <v>0</v>
      </c>
      <c r="L66" s="69">
        <f t="shared" si="0"/>
        <v>396.71</v>
      </c>
      <c r="M66" s="273">
        <f t="shared" si="1"/>
        <v>0</v>
      </c>
      <c r="N66" s="71">
        <f t="shared" si="2"/>
        <v>669.62</v>
      </c>
      <c r="O66" s="72">
        <f t="shared" si="3"/>
        <v>396.71</v>
      </c>
      <c r="P66" s="274">
        <f t="shared" si="4"/>
        <v>265644.95019999996</v>
      </c>
      <c r="Q66" s="296">
        <v>571.52</v>
      </c>
      <c r="R66" s="289"/>
    </row>
    <row r="67" spans="2:18" s="121" customFormat="1" ht="12" x14ac:dyDescent="0.2">
      <c r="B67" s="120"/>
      <c r="C67" s="56" t="s">
        <v>251</v>
      </c>
      <c r="D67" s="56" t="s">
        <v>96</v>
      </c>
      <c r="E67" s="57" t="s">
        <v>277</v>
      </c>
      <c r="F67" s="58" t="s">
        <v>278</v>
      </c>
      <c r="G67" s="59" t="s">
        <v>108</v>
      </c>
      <c r="H67" s="60">
        <v>352.17</v>
      </c>
      <c r="I67" s="61">
        <v>559.51</v>
      </c>
      <c r="J67" s="60">
        <v>197042.6</v>
      </c>
      <c r="K67" s="68">
        <v>0</v>
      </c>
      <c r="L67" s="69">
        <f t="shared" si="0"/>
        <v>559.51</v>
      </c>
      <c r="M67" s="273">
        <f t="shared" si="1"/>
        <v>0</v>
      </c>
      <c r="N67" s="71">
        <f t="shared" si="2"/>
        <v>352.17</v>
      </c>
      <c r="O67" s="72">
        <f t="shared" si="3"/>
        <v>559.51</v>
      </c>
      <c r="P67" s="274">
        <f t="shared" si="4"/>
        <v>197042.6367</v>
      </c>
      <c r="Q67" s="296">
        <v>302.2</v>
      </c>
      <c r="R67" s="289"/>
    </row>
    <row r="68" spans="2:18" s="170" customFormat="1" ht="12.75" x14ac:dyDescent="0.2">
      <c r="B68" s="165"/>
      <c r="C68" s="252"/>
      <c r="D68" s="253" t="s">
        <v>4</v>
      </c>
      <c r="E68" s="254" t="s">
        <v>115</v>
      </c>
      <c r="F68" s="254" t="s">
        <v>288</v>
      </c>
      <c r="G68" s="252"/>
      <c r="H68" s="252"/>
      <c r="I68" s="255"/>
      <c r="J68" s="256">
        <f>+SUBTOTAL(9,J69:J93)</f>
        <v>1031875.0000000001</v>
      </c>
      <c r="K68" s="261"/>
      <c r="L68" s="262"/>
      <c r="M68" s="279">
        <f>SUM(M69:M93)</f>
        <v>-48199.4349</v>
      </c>
      <c r="N68" s="280"/>
      <c r="O68" s="262"/>
      <c r="P68" s="279">
        <f>SUM(P69:P93)</f>
        <v>983675.48349999974</v>
      </c>
      <c r="Q68" s="297"/>
      <c r="R68" s="290"/>
    </row>
    <row r="69" spans="2:18" s="121" customFormat="1" ht="12" x14ac:dyDescent="0.2">
      <c r="B69" s="120"/>
      <c r="C69" s="56" t="s">
        <v>254</v>
      </c>
      <c r="D69" s="56" t="s">
        <v>96</v>
      </c>
      <c r="E69" s="57" t="s">
        <v>296</v>
      </c>
      <c r="F69" s="58" t="s">
        <v>297</v>
      </c>
      <c r="G69" s="59" t="s">
        <v>133</v>
      </c>
      <c r="H69" s="60">
        <v>311.27</v>
      </c>
      <c r="I69" s="61">
        <v>552.39</v>
      </c>
      <c r="J69" s="60">
        <v>171942.39999999999</v>
      </c>
      <c r="K69" s="68">
        <v>-16.97</v>
      </c>
      <c r="L69" s="69">
        <f t="shared" si="0"/>
        <v>552.39</v>
      </c>
      <c r="M69" s="273">
        <f t="shared" si="1"/>
        <v>-9374.0582999999988</v>
      </c>
      <c r="N69" s="71">
        <f t="shared" si="2"/>
        <v>294.29999999999995</v>
      </c>
      <c r="O69" s="72">
        <f t="shared" si="3"/>
        <v>552.39</v>
      </c>
      <c r="P69" s="274">
        <f t="shared" si="4"/>
        <v>162568.37699999998</v>
      </c>
      <c r="Q69" s="296">
        <v>263.14</v>
      </c>
      <c r="R69" s="289"/>
    </row>
    <row r="70" spans="2:18" s="121" customFormat="1" ht="12" x14ac:dyDescent="0.2">
      <c r="B70" s="120"/>
      <c r="C70" s="73" t="s">
        <v>258</v>
      </c>
      <c r="D70" s="73" t="s">
        <v>209</v>
      </c>
      <c r="E70" s="74" t="s">
        <v>299</v>
      </c>
      <c r="F70" s="75" t="s">
        <v>300</v>
      </c>
      <c r="G70" s="76" t="s">
        <v>133</v>
      </c>
      <c r="H70" s="77">
        <v>311.27</v>
      </c>
      <c r="I70" s="78">
        <v>1060.07</v>
      </c>
      <c r="J70" s="77">
        <v>329968</v>
      </c>
      <c r="K70" s="68">
        <f>+K69</f>
        <v>-16.97</v>
      </c>
      <c r="L70" s="69">
        <f t="shared" si="0"/>
        <v>1060.07</v>
      </c>
      <c r="M70" s="273">
        <f t="shared" si="1"/>
        <v>-17989.387899999998</v>
      </c>
      <c r="N70" s="71">
        <f t="shared" si="2"/>
        <v>294.29999999999995</v>
      </c>
      <c r="O70" s="72">
        <f t="shared" si="3"/>
        <v>1060.07</v>
      </c>
      <c r="P70" s="274">
        <f t="shared" si="4"/>
        <v>311978.60099999991</v>
      </c>
      <c r="Q70" s="296">
        <v>263.14</v>
      </c>
      <c r="R70" s="289"/>
    </row>
    <row r="71" spans="2:18" s="121" customFormat="1" ht="12" x14ac:dyDescent="0.2">
      <c r="B71" s="120"/>
      <c r="C71" s="73" t="s">
        <v>261</v>
      </c>
      <c r="D71" s="73" t="s">
        <v>209</v>
      </c>
      <c r="E71" s="74" t="s">
        <v>302</v>
      </c>
      <c r="F71" s="75" t="s">
        <v>303</v>
      </c>
      <c r="G71" s="76" t="s">
        <v>99</v>
      </c>
      <c r="H71" s="77">
        <v>17</v>
      </c>
      <c r="I71" s="78">
        <v>739.15</v>
      </c>
      <c r="J71" s="77">
        <v>12565.6</v>
      </c>
      <c r="K71" s="68">
        <v>0</v>
      </c>
      <c r="L71" s="69">
        <f t="shared" si="0"/>
        <v>739.15</v>
      </c>
      <c r="M71" s="273">
        <f t="shared" si="1"/>
        <v>0</v>
      </c>
      <c r="N71" s="71">
        <f t="shared" si="2"/>
        <v>17</v>
      </c>
      <c r="O71" s="72">
        <f t="shared" si="3"/>
        <v>739.15</v>
      </c>
      <c r="P71" s="274">
        <f t="shared" si="4"/>
        <v>12565.55</v>
      </c>
      <c r="Q71" s="296">
        <v>17</v>
      </c>
      <c r="R71" s="289"/>
    </row>
    <row r="72" spans="2:18" s="121" customFormat="1" ht="12" x14ac:dyDescent="0.2">
      <c r="B72" s="120"/>
      <c r="C72" s="56" t="s">
        <v>264</v>
      </c>
      <c r="D72" s="56" t="s">
        <v>96</v>
      </c>
      <c r="E72" s="57" t="s">
        <v>320</v>
      </c>
      <c r="F72" s="58" t="s">
        <v>321</v>
      </c>
      <c r="G72" s="59" t="s">
        <v>99</v>
      </c>
      <c r="H72" s="60">
        <v>5</v>
      </c>
      <c r="I72" s="61">
        <v>260.41000000000003</v>
      </c>
      <c r="J72" s="60">
        <v>1302.0999999999999</v>
      </c>
      <c r="K72" s="68">
        <v>0</v>
      </c>
      <c r="L72" s="69">
        <f t="shared" si="0"/>
        <v>260.41000000000003</v>
      </c>
      <c r="M72" s="273">
        <f t="shared" si="1"/>
        <v>0</v>
      </c>
      <c r="N72" s="71">
        <f t="shared" si="2"/>
        <v>5</v>
      </c>
      <c r="O72" s="72">
        <f t="shared" si="3"/>
        <v>260.41000000000003</v>
      </c>
      <c r="P72" s="274">
        <f t="shared" si="4"/>
        <v>1302.0500000000002</v>
      </c>
      <c r="Q72" s="296">
        <v>4</v>
      </c>
      <c r="R72" s="289"/>
    </row>
    <row r="73" spans="2:18" s="121" customFormat="1" ht="12" x14ac:dyDescent="0.2">
      <c r="B73" s="120"/>
      <c r="C73" s="73" t="s">
        <v>267</v>
      </c>
      <c r="D73" s="73" t="s">
        <v>209</v>
      </c>
      <c r="E73" s="74" t="s">
        <v>326</v>
      </c>
      <c r="F73" s="75" t="s">
        <v>327</v>
      </c>
      <c r="G73" s="76" t="s">
        <v>99</v>
      </c>
      <c r="H73" s="77">
        <v>5.08</v>
      </c>
      <c r="I73" s="78">
        <v>1801.85</v>
      </c>
      <c r="J73" s="77">
        <v>9153.4</v>
      </c>
      <c r="K73" s="68">
        <v>0</v>
      </c>
      <c r="L73" s="69">
        <f t="shared" si="0"/>
        <v>1801.85</v>
      </c>
      <c r="M73" s="273">
        <f t="shared" si="1"/>
        <v>0</v>
      </c>
      <c r="N73" s="71">
        <f t="shared" si="2"/>
        <v>5.08</v>
      </c>
      <c r="O73" s="72">
        <f t="shared" si="3"/>
        <v>1801.85</v>
      </c>
      <c r="P73" s="274">
        <f t="shared" si="4"/>
        <v>9153.3979999999992</v>
      </c>
      <c r="Q73" s="296">
        <v>4.08</v>
      </c>
      <c r="R73" s="289"/>
    </row>
    <row r="74" spans="2:18" s="121" customFormat="1" ht="12" x14ac:dyDescent="0.2">
      <c r="B74" s="120"/>
      <c r="C74" s="56" t="s">
        <v>270</v>
      </c>
      <c r="D74" s="56" t="s">
        <v>96</v>
      </c>
      <c r="E74" s="57" t="s">
        <v>329</v>
      </c>
      <c r="F74" s="58" t="s">
        <v>330</v>
      </c>
      <c r="G74" s="59" t="s">
        <v>99</v>
      </c>
      <c r="H74" s="60">
        <v>23</v>
      </c>
      <c r="I74" s="61">
        <v>219.64</v>
      </c>
      <c r="J74" s="60">
        <v>5051.7</v>
      </c>
      <c r="K74" s="68">
        <v>0</v>
      </c>
      <c r="L74" s="69">
        <f t="shared" si="0"/>
        <v>219.64</v>
      </c>
      <c r="M74" s="273">
        <f t="shared" si="1"/>
        <v>0</v>
      </c>
      <c r="N74" s="71">
        <f t="shared" si="2"/>
        <v>23</v>
      </c>
      <c r="O74" s="72">
        <f t="shared" si="3"/>
        <v>219.64</v>
      </c>
      <c r="P74" s="274">
        <f t="shared" si="4"/>
        <v>5051.7199999999993</v>
      </c>
      <c r="Q74" s="296">
        <v>23</v>
      </c>
      <c r="R74" s="289"/>
    </row>
    <row r="75" spans="2:18" s="121" customFormat="1" ht="12" x14ac:dyDescent="0.2">
      <c r="B75" s="120"/>
      <c r="C75" s="73" t="s">
        <v>273</v>
      </c>
      <c r="D75" s="73" t="s">
        <v>209</v>
      </c>
      <c r="E75" s="74" t="s">
        <v>332</v>
      </c>
      <c r="F75" s="75" t="s">
        <v>333</v>
      </c>
      <c r="G75" s="76" t="s">
        <v>99</v>
      </c>
      <c r="H75" s="77">
        <v>12.18</v>
      </c>
      <c r="I75" s="78">
        <v>1129.77</v>
      </c>
      <c r="J75" s="77">
        <v>13760.6</v>
      </c>
      <c r="K75" s="68">
        <v>0</v>
      </c>
      <c r="L75" s="69">
        <f t="shared" si="0"/>
        <v>1129.77</v>
      </c>
      <c r="M75" s="273">
        <f t="shared" si="1"/>
        <v>0</v>
      </c>
      <c r="N75" s="71">
        <f t="shared" si="2"/>
        <v>12.18</v>
      </c>
      <c r="O75" s="72">
        <f t="shared" si="3"/>
        <v>1129.77</v>
      </c>
      <c r="P75" s="274">
        <f t="shared" si="4"/>
        <v>13760.598599999999</v>
      </c>
      <c r="Q75" s="296">
        <v>12.18</v>
      </c>
      <c r="R75" s="289"/>
    </row>
    <row r="76" spans="2:18" s="121" customFormat="1" ht="12" x14ac:dyDescent="0.2">
      <c r="B76" s="120"/>
      <c r="C76" s="73" t="s">
        <v>276</v>
      </c>
      <c r="D76" s="73" t="s">
        <v>209</v>
      </c>
      <c r="E76" s="74" t="s">
        <v>335</v>
      </c>
      <c r="F76" s="75" t="s">
        <v>336</v>
      </c>
      <c r="G76" s="76" t="s">
        <v>99</v>
      </c>
      <c r="H76" s="77">
        <v>11.17</v>
      </c>
      <c r="I76" s="78">
        <v>1129.77</v>
      </c>
      <c r="J76" s="77">
        <v>12619.5</v>
      </c>
      <c r="K76" s="68">
        <v>0</v>
      </c>
      <c r="L76" s="69">
        <f t="shared" si="0"/>
        <v>1129.77</v>
      </c>
      <c r="M76" s="273">
        <f t="shared" si="1"/>
        <v>0</v>
      </c>
      <c r="N76" s="71">
        <f t="shared" si="2"/>
        <v>11.17</v>
      </c>
      <c r="O76" s="72">
        <f t="shared" si="3"/>
        <v>1129.77</v>
      </c>
      <c r="P76" s="274">
        <f t="shared" si="4"/>
        <v>12619.5309</v>
      </c>
      <c r="Q76" s="296">
        <v>11.17</v>
      </c>
      <c r="R76" s="289"/>
    </row>
    <row r="77" spans="2:18" s="121" customFormat="1" ht="12" x14ac:dyDescent="0.2">
      <c r="B77" s="120"/>
      <c r="C77" s="56" t="s">
        <v>279</v>
      </c>
      <c r="D77" s="56" t="s">
        <v>96</v>
      </c>
      <c r="E77" s="57" t="s">
        <v>438</v>
      </c>
      <c r="F77" s="58" t="s">
        <v>439</v>
      </c>
      <c r="G77" s="59" t="s">
        <v>133</v>
      </c>
      <c r="H77" s="60">
        <v>20</v>
      </c>
      <c r="I77" s="61">
        <v>441.91</v>
      </c>
      <c r="J77" s="60">
        <v>8838.2000000000007</v>
      </c>
      <c r="K77" s="68">
        <v>-0.5</v>
      </c>
      <c r="L77" s="69">
        <f t="shared" si="0"/>
        <v>441.91</v>
      </c>
      <c r="M77" s="273">
        <f t="shared" si="1"/>
        <v>-220.95500000000001</v>
      </c>
      <c r="N77" s="71">
        <f t="shared" si="2"/>
        <v>19.5</v>
      </c>
      <c r="O77" s="72">
        <f t="shared" si="3"/>
        <v>441.91</v>
      </c>
      <c r="P77" s="274">
        <f t="shared" si="4"/>
        <v>8617.2450000000008</v>
      </c>
      <c r="Q77" s="296">
        <v>20</v>
      </c>
      <c r="R77" s="289"/>
    </row>
    <row r="78" spans="2:18" s="121" customFormat="1" ht="22.5" x14ac:dyDescent="0.2">
      <c r="B78" s="120"/>
      <c r="C78" s="73" t="s">
        <v>282</v>
      </c>
      <c r="D78" s="73" t="s">
        <v>209</v>
      </c>
      <c r="E78" s="74" t="s">
        <v>440</v>
      </c>
      <c r="F78" s="75" t="s">
        <v>441</v>
      </c>
      <c r="G78" s="76" t="s">
        <v>133</v>
      </c>
      <c r="H78" s="77">
        <v>20</v>
      </c>
      <c r="I78" s="78">
        <v>2964.5</v>
      </c>
      <c r="J78" s="77">
        <v>59290</v>
      </c>
      <c r="K78" s="68">
        <f>+K77</f>
        <v>-0.5</v>
      </c>
      <c r="L78" s="69">
        <f t="shared" si="0"/>
        <v>2964.5</v>
      </c>
      <c r="M78" s="273">
        <f t="shared" si="1"/>
        <v>-1482.25</v>
      </c>
      <c r="N78" s="71">
        <f t="shared" si="2"/>
        <v>19.5</v>
      </c>
      <c r="O78" s="72">
        <f t="shared" si="3"/>
        <v>2964.5</v>
      </c>
      <c r="P78" s="274">
        <f t="shared" si="4"/>
        <v>57807.75</v>
      </c>
      <c r="Q78" s="296">
        <v>20</v>
      </c>
      <c r="R78" s="289"/>
    </row>
    <row r="79" spans="2:18" s="121" customFormat="1" ht="33.75" x14ac:dyDescent="0.2">
      <c r="B79" s="120"/>
      <c r="C79" s="56" t="s">
        <v>285</v>
      </c>
      <c r="D79" s="56" t="s">
        <v>96</v>
      </c>
      <c r="E79" s="57" t="s">
        <v>347</v>
      </c>
      <c r="F79" s="58" t="s">
        <v>348</v>
      </c>
      <c r="G79" s="59" t="s">
        <v>133</v>
      </c>
      <c r="H79" s="60">
        <v>311.27</v>
      </c>
      <c r="I79" s="61">
        <v>68</v>
      </c>
      <c r="J79" s="60">
        <v>21166.400000000001</v>
      </c>
      <c r="K79" s="68">
        <v>-16.97</v>
      </c>
      <c r="L79" s="69">
        <f t="shared" si="0"/>
        <v>68</v>
      </c>
      <c r="M79" s="273">
        <f t="shared" si="1"/>
        <v>-1153.96</v>
      </c>
      <c r="N79" s="71">
        <f t="shared" si="2"/>
        <v>294.29999999999995</v>
      </c>
      <c r="O79" s="72">
        <f t="shared" si="3"/>
        <v>68</v>
      </c>
      <c r="P79" s="274">
        <f t="shared" si="4"/>
        <v>20012.399999999998</v>
      </c>
      <c r="Q79" s="296">
        <v>263.14</v>
      </c>
      <c r="R79" s="289"/>
    </row>
    <row r="80" spans="2:18" s="121" customFormat="1" ht="12" x14ac:dyDescent="0.2">
      <c r="B80" s="120"/>
      <c r="C80" s="56" t="s">
        <v>289</v>
      </c>
      <c r="D80" s="56" t="s">
        <v>96</v>
      </c>
      <c r="E80" s="57" t="s">
        <v>350</v>
      </c>
      <c r="F80" s="58" t="s">
        <v>351</v>
      </c>
      <c r="G80" s="59" t="s">
        <v>99</v>
      </c>
      <c r="H80" s="60">
        <v>18</v>
      </c>
      <c r="I80" s="61">
        <v>808.86</v>
      </c>
      <c r="J80" s="60">
        <v>14559.5</v>
      </c>
      <c r="K80" s="68">
        <v>0</v>
      </c>
      <c r="L80" s="69">
        <f t="shared" ref="L80:L102" si="6">I80</f>
        <v>808.86</v>
      </c>
      <c r="M80" s="273">
        <f t="shared" ref="M80:M102" si="7">K80*L80</f>
        <v>0</v>
      </c>
      <c r="N80" s="71">
        <f t="shared" ref="N80:N102" si="8">H80+K80</f>
        <v>18</v>
      </c>
      <c r="O80" s="72">
        <f t="shared" ref="O80:O102" si="9">I80</f>
        <v>808.86</v>
      </c>
      <c r="P80" s="274">
        <f t="shared" ref="P80:P102" si="10">N80*O80</f>
        <v>14559.48</v>
      </c>
      <c r="Q80" s="296">
        <v>16</v>
      </c>
      <c r="R80" s="289"/>
    </row>
    <row r="81" spans="2:22" s="121" customFormat="1" ht="12" x14ac:dyDescent="0.2">
      <c r="B81" s="120"/>
      <c r="C81" s="73" t="s">
        <v>292</v>
      </c>
      <c r="D81" s="73" t="s">
        <v>209</v>
      </c>
      <c r="E81" s="74" t="s">
        <v>353</v>
      </c>
      <c r="F81" s="75" t="s">
        <v>354</v>
      </c>
      <c r="G81" s="76" t="s">
        <v>99</v>
      </c>
      <c r="H81" s="77">
        <v>3</v>
      </c>
      <c r="I81" s="78">
        <v>3481.39</v>
      </c>
      <c r="J81" s="77">
        <v>10444.200000000001</v>
      </c>
      <c r="K81" s="68">
        <v>0</v>
      </c>
      <c r="L81" s="69">
        <f t="shared" si="6"/>
        <v>3481.39</v>
      </c>
      <c r="M81" s="273">
        <f t="shared" si="7"/>
        <v>0</v>
      </c>
      <c r="N81" s="71">
        <f t="shared" si="8"/>
        <v>3</v>
      </c>
      <c r="O81" s="72">
        <f t="shared" si="9"/>
        <v>3481.39</v>
      </c>
      <c r="P81" s="274">
        <f t="shared" si="10"/>
        <v>10444.17</v>
      </c>
      <c r="Q81" s="296">
        <v>3</v>
      </c>
      <c r="R81" s="289"/>
    </row>
    <row r="82" spans="2:22" s="121" customFormat="1" ht="12" x14ac:dyDescent="0.2">
      <c r="B82" s="120"/>
      <c r="C82" s="73" t="s">
        <v>295</v>
      </c>
      <c r="D82" s="73" t="s">
        <v>209</v>
      </c>
      <c r="E82" s="74" t="s">
        <v>356</v>
      </c>
      <c r="F82" s="75" t="s">
        <v>357</v>
      </c>
      <c r="G82" s="76" t="s">
        <v>99</v>
      </c>
      <c r="H82" s="77">
        <v>9</v>
      </c>
      <c r="I82" s="78">
        <v>1202.1099999999999</v>
      </c>
      <c r="J82" s="77">
        <v>10819</v>
      </c>
      <c r="K82" s="68">
        <v>0</v>
      </c>
      <c r="L82" s="69">
        <f t="shared" si="6"/>
        <v>1202.1099999999999</v>
      </c>
      <c r="M82" s="273">
        <f t="shared" si="7"/>
        <v>0</v>
      </c>
      <c r="N82" s="71">
        <f t="shared" si="8"/>
        <v>9</v>
      </c>
      <c r="O82" s="72">
        <f t="shared" si="9"/>
        <v>1202.1099999999999</v>
      </c>
      <c r="P82" s="274">
        <f t="shared" si="10"/>
        <v>10818.99</v>
      </c>
      <c r="Q82" s="296">
        <v>9</v>
      </c>
      <c r="R82" s="289"/>
    </row>
    <row r="83" spans="2:22" s="121" customFormat="1" ht="12" x14ac:dyDescent="0.2">
      <c r="B83" s="120"/>
      <c r="C83" s="73" t="s">
        <v>298</v>
      </c>
      <c r="D83" s="73" t="s">
        <v>209</v>
      </c>
      <c r="E83" s="74" t="s">
        <v>359</v>
      </c>
      <c r="F83" s="75" t="s">
        <v>360</v>
      </c>
      <c r="G83" s="76" t="s">
        <v>99</v>
      </c>
      <c r="H83" s="77">
        <v>6</v>
      </c>
      <c r="I83" s="78">
        <v>775.98</v>
      </c>
      <c r="J83" s="77">
        <v>4655.8999999999996</v>
      </c>
      <c r="K83" s="68">
        <v>0</v>
      </c>
      <c r="L83" s="69">
        <f t="shared" si="6"/>
        <v>775.98</v>
      </c>
      <c r="M83" s="273">
        <f t="shared" si="7"/>
        <v>0</v>
      </c>
      <c r="N83" s="71">
        <f t="shared" si="8"/>
        <v>6</v>
      </c>
      <c r="O83" s="72">
        <f t="shared" si="9"/>
        <v>775.98</v>
      </c>
      <c r="P83" s="274">
        <f t="shared" si="10"/>
        <v>4655.88</v>
      </c>
      <c r="Q83" s="296">
        <v>4</v>
      </c>
      <c r="R83" s="289"/>
    </row>
    <row r="84" spans="2:22" s="121" customFormat="1" ht="12" x14ac:dyDescent="0.2">
      <c r="B84" s="120"/>
      <c r="C84" s="73" t="s">
        <v>301</v>
      </c>
      <c r="D84" s="73" t="s">
        <v>209</v>
      </c>
      <c r="E84" s="74" t="s">
        <v>362</v>
      </c>
      <c r="F84" s="75" t="s">
        <v>363</v>
      </c>
      <c r="G84" s="76" t="s">
        <v>99</v>
      </c>
      <c r="H84" s="77">
        <v>27</v>
      </c>
      <c r="I84" s="78">
        <v>211.75</v>
      </c>
      <c r="J84" s="77">
        <v>5717.3</v>
      </c>
      <c r="K84" s="68">
        <v>0</v>
      </c>
      <c r="L84" s="69">
        <f t="shared" si="6"/>
        <v>211.75</v>
      </c>
      <c r="M84" s="273">
        <f t="shared" si="7"/>
        <v>0</v>
      </c>
      <c r="N84" s="71">
        <f t="shared" si="8"/>
        <v>27</v>
      </c>
      <c r="O84" s="72">
        <f t="shared" si="9"/>
        <v>211.75</v>
      </c>
      <c r="P84" s="274">
        <f t="shared" si="10"/>
        <v>5717.25</v>
      </c>
      <c r="Q84" s="296">
        <v>23</v>
      </c>
      <c r="R84" s="289"/>
    </row>
    <row r="85" spans="2:22" s="121" customFormat="1" ht="12" x14ac:dyDescent="0.2">
      <c r="B85" s="120"/>
      <c r="C85" s="56" t="s">
        <v>304</v>
      </c>
      <c r="D85" s="56" t="s">
        <v>96</v>
      </c>
      <c r="E85" s="57" t="s">
        <v>365</v>
      </c>
      <c r="F85" s="58" t="s">
        <v>366</v>
      </c>
      <c r="G85" s="59" t="s">
        <v>99</v>
      </c>
      <c r="H85" s="60">
        <v>12</v>
      </c>
      <c r="I85" s="61">
        <v>808.86</v>
      </c>
      <c r="J85" s="60">
        <v>9706.2999999999993</v>
      </c>
      <c r="K85" s="68">
        <v>0</v>
      </c>
      <c r="L85" s="69">
        <f t="shared" si="6"/>
        <v>808.86</v>
      </c>
      <c r="M85" s="273">
        <f t="shared" si="7"/>
        <v>0</v>
      </c>
      <c r="N85" s="71">
        <f t="shared" si="8"/>
        <v>12</v>
      </c>
      <c r="O85" s="72">
        <f t="shared" si="9"/>
        <v>808.86</v>
      </c>
      <c r="P85" s="274">
        <f t="shared" si="10"/>
        <v>9706.32</v>
      </c>
      <c r="Q85" s="296">
        <v>10</v>
      </c>
      <c r="R85" s="289"/>
    </row>
    <row r="86" spans="2:22" s="121" customFormat="1" ht="12" x14ac:dyDescent="0.2">
      <c r="B86" s="120"/>
      <c r="C86" s="73" t="s">
        <v>307</v>
      </c>
      <c r="D86" s="73" t="s">
        <v>209</v>
      </c>
      <c r="E86" s="74" t="s">
        <v>368</v>
      </c>
      <c r="F86" s="75" t="s">
        <v>369</v>
      </c>
      <c r="G86" s="76" t="s">
        <v>99</v>
      </c>
      <c r="H86" s="77">
        <v>12</v>
      </c>
      <c r="I86" s="78">
        <v>1530.92</v>
      </c>
      <c r="J86" s="77">
        <v>18371</v>
      </c>
      <c r="K86" s="68">
        <v>0</v>
      </c>
      <c r="L86" s="69">
        <f t="shared" si="6"/>
        <v>1530.92</v>
      </c>
      <c r="M86" s="273">
        <f t="shared" si="7"/>
        <v>0</v>
      </c>
      <c r="N86" s="71">
        <f t="shared" si="8"/>
        <v>12</v>
      </c>
      <c r="O86" s="72">
        <f t="shared" si="9"/>
        <v>1530.92</v>
      </c>
      <c r="P86" s="274">
        <f t="shared" si="10"/>
        <v>18371.04</v>
      </c>
      <c r="Q86" s="296">
        <v>10</v>
      </c>
      <c r="R86" s="289"/>
    </row>
    <row r="87" spans="2:22" s="121" customFormat="1" ht="12" x14ac:dyDescent="0.2">
      <c r="B87" s="120"/>
      <c r="C87" s="56" t="s">
        <v>310</v>
      </c>
      <c r="D87" s="56" t="s">
        <v>96</v>
      </c>
      <c r="E87" s="57" t="s">
        <v>371</v>
      </c>
      <c r="F87" s="58" t="s">
        <v>372</v>
      </c>
      <c r="G87" s="59" t="s">
        <v>99</v>
      </c>
      <c r="H87" s="60">
        <v>12</v>
      </c>
      <c r="I87" s="61">
        <v>3234.12</v>
      </c>
      <c r="J87" s="60">
        <v>38809.4</v>
      </c>
      <c r="K87" s="68">
        <v>-1</v>
      </c>
      <c r="L87" s="69">
        <f t="shared" si="6"/>
        <v>3234.12</v>
      </c>
      <c r="M87" s="273">
        <f t="shared" si="7"/>
        <v>-3234.12</v>
      </c>
      <c r="N87" s="71">
        <f t="shared" si="8"/>
        <v>11</v>
      </c>
      <c r="O87" s="72">
        <f t="shared" si="9"/>
        <v>3234.12</v>
      </c>
      <c r="P87" s="274">
        <f t="shared" si="10"/>
        <v>35575.32</v>
      </c>
      <c r="Q87" s="296">
        <v>10</v>
      </c>
      <c r="R87" s="289"/>
    </row>
    <row r="88" spans="2:22" s="121" customFormat="1" ht="12" x14ac:dyDescent="0.2">
      <c r="B88" s="120"/>
      <c r="C88" s="73" t="s">
        <v>313</v>
      </c>
      <c r="D88" s="73" t="s">
        <v>209</v>
      </c>
      <c r="E88" s="74" t="s">
        <v>374</v>
      </c>
      <c r="F88" s="75" t="s">
        <v>375</v>
      </c>
      <c r="G88" s="76" t="s">
        <v>99</v>
      </c>
      <c r="H88" s="77">
        <v>12</v>
      </c>
      <c r="I88" s="78">
        <v>14588.41</v>
      </c>
      <c r="J88" s="77">
        <v>175060.9</v>
      </c>
      <c r="K88" s="68">
        <v>-1</v>
      </c>
      <c r="L88" s="69">
        <f t="shared" si="6"/>
        <v>14588.41</v>
      </c>
      <c r="M88" s="273">
        <f t="shared" si="7"/>
        <v>-14588.41</v>
      </c>
      <c r="N88" s="71">
        <f t="shared" si="8"/>
        <v>11</v>
      </c>
      <c r="O88" s="72">
        <f t="shared" si="9"/>
        <v>14588.41</v>
      </c>
      <c r="P88" s="274">
        <f t="shared" si="10"/>
        <v>160472.51</v>
      </c>
      <c r="Q88" s="296">
        <v>10</v>
      </c>
      <c r="R88" s="289"/>
    </row>
    <row r="89" spans="2:22" s="121" customFormat="1" ht="12" x14ac:dyDescent="0.2">
      <c r="B89" s="120"/>
      <c r="C89" s="56" t="s">
        <v>316</v>
      </c>
      <c r="D89" s="56" t="s">
        <v>96</v>
      </c>
      <c r="E89" s="57" t="s">
        <v>377</v>
      </c>
      <c r="F89" s="58" t="s">
        <v>378</v>
      </c>
      <c r="G89" s="59" t="s">
        <v>99</v>
      </c>
      <c r="H89" s="60">
        <v>12</v>
      </c>
      <c r="I89" s="61">
        <v>485.32</v>
      </c>
      <c r="J89" s="60">
        <v>5823.8</v>
      </c>
      <c r="K89" s="68">
        <v>0</v>
      </c>
      <c r="L89" s="69">
        <f t="shared" si="6"/>
        <v>485.32</v>
      </c>
      <c r="M89" s="273">
        <f t="shared" si="7"/>
        <v>0</v>
      </c>
      <c r="N89" s="71">
        <f t="shared" si="8"/>
        <v>12</v>
      </c>
      <c r="O89" s="72">
        <f t="shared" si="9"/>
        <v>485.32</v>
      </c>
      <c r="P89" s="274">
        <f t="shared" si="10"/>
        <v>5823.84</v>
      </c>
      <c r="Q89" s="296">
        <v>10</v>
      </c>
      <c r="R89" s="289"/>
    </row>
    <row r="90" spans="2:22" s="121" customFormat="1" ht="12" x14ac:dyDescent="0.2">
      <c r="B90" s="120"/>
      <c r="C90" s="73" t="s">
        <v>319</v>
      </c>
      <c r="D90" s="73" t="s">
        <v>209</v>
      </c>
      <c r="E90" s="74" t="s">
        <v>380</v>
      </c>
      <c r="F90" s="75" t="s">
        <v>381</v>
      </c>
      <c r="G90" s="76" t="s">
        <v>99</v>
      </c>
      <c r="H90" s="77">
        <v>12</v>
      </c>
      <c r="I90" s="78">
        <v>6510.34</v>
      </c>
      <c r="J90" s="77">
        <v>78124.100000000006</v>
      </c>
      <c r="K90" s="68">
        <v>0</v>
      </c>
      <c r="L90" s="69">
        <f t="shared" si="6"/>
        <v>6510.34</v>
      </c>
      <c r="M90" s="273">
        <f t="shared" si="7"/>
        <v>0</v>
      </c>
      <c r="N90" s="71">
        <f t="shared" si="8"/>
        <v>12</v>
      </c>
      <c r="O90" s="72">
        <f t="shared" si="9"/>
        <v>6510.34</v>
      </c>
      <c r="P90" s="274">
        <f t="shared" si="10"/>
        <v>78124.08</v>
      </c>
      <c r="Q90" s="296">
        <v>10</v>
      </c>
      <c r="R90" s="289"/>
    </row>
    <row r="91" spans="2:22" s="121" customFormat="1" ht="12" x14ac:dyDescent="0.2">
      <c r="B91" s="120"/>
      <c r="C91" s="56" t="s">
        <v>322</v>
      </c>
      <c r="D91" s="56" t="s">
        <v>96</v>
      </c>
      <c r="E91" s="57" t="s">
        <v>383</v>
      </c>
      <c r="F91" s="58" t="s">
        <v>384</v>
      </c>
      <c r="G91" s="59" t="s">
        <v>133</v>
      </c>
      <c r="H91" s="60">
        <v>311.27</v>
      </c>
      <c r="I91" s="61">
        <v>9.2100000000000009</v>
      </c>
      <c r="J91" s="60">
        <v>2866.8</v>
      </c>
      <c r="K91" s="68">
        <v>-16.97</v>
      </c>
      <c r="L91" s="69">
        <f t="shared" si="6"/>
        <v>9.2100000000000009</v>
      </c>
      <c r="M91" s="273">
        <f t="shared" si="7"/>
        <v>-156.2937</v>
      </c>
      <c r="N91" s="71">
        <f t="shared" si="8"/>
        <v>294.29999999999995</v>
      </c>
      <c r="O91" s="72">
        <f t="shared" si="9"/>
        <v>9.2100000000000009</v>
      </c>
      <c r="P91" s="274">
        <f t="shared" si="10"/>
        <v>2710.5029999999997</v>
      </c>
      <c r="Q91" s="296">
        <v>263.14</v>
      </c>
      <c r="R91" s="289"/>
    </row>
    <row r="92" spans="2:22" s="121" customFormat="1" ht="12" x14ac:dyDescent="0.2">
      <c r="B92" s="120"/>
      <c r="C92" s="56" t="s">
        <v>325</v>
      </c>
      <c r="D92" s="56" t="s">
        <v>96</v>
      </c>
      <c r="E92" s="57" t="s">
        <v>444</v>
      </c>
      <c r="F92" s="58" t="s">
        <v>445</v>
      </c>
      <c r="G92" s="59" t="s">
        <v>99</v>
      </c>
      <c r="H92" s="60">
        <v>11</v>
      </c>
      <c r="I92" s="61">
        <v>252.72000000000003</v>
      </c>
      <c r="J92" s="60">
        <v>2779.9</v>
      </c>
      <c r="K92" s="68">
        <v>0</v>
      </c>
      <c r="L92" s="69">
        <f t="shared" si="6"/>
        <v>252.72000000000003</v>
      </c>
      <c r="M92" s="273">
        <f t="shared" si="7"/>
        <v>0</v>
      </c>
      <c r="N92" s="71">
        <f t="shared" si="8"/>
        <v>11</v>
      </c>
      <c r="O92" s="72">
        <f t="shared" si="9"/>
        <v>252.72000000000003</v>
      </c>
      <c r="P92" s="274">
        <f t="shared" si="10"/>
        <v>2779.92</v>
      </c>
      <c r="Q92" s="296">
        <v>11</v>
      </c>
      <c r="R92" s="289"/>
    </row>
    <row r="93" spans="2:22" s="121" customFormat="1" ht="22.5" x14ac:dyDescent="0.2">
      <c r="B93" s="120"/>
      <c r="C93" s="56" t="s">
        <v>328</v>
      </c>
      <c r="D93" s="56" t="s">
        <v>96</v>
      </c>
      <c r="E93" s="57" t="s">
        <v>446</v>
      </c>
      <c r="F93" s="58" t="s">
        <v>447</v>
      </c>
      <c r="G93" s="59" t="s">
        <v>99</v>
      </c>
      <c r="H93" s="60">
        <v>2</v>
      </c>
      <c r="I93" s="61">
        <v>4239.4800000000005</v>
      </c>
      <c r="J93" s="60">
        <v>8479</v>
      </c>
      <c r="K93" s="68">
        <v>0</v>
      </c>
      <c r="L93" s="69">
        <f t="shared" si="6"/>
        <v>4239.4800000000005</v>
      </c>
      <c r="M93" s="273">
        <f t="shared" si="7"/>
        <v>0</v>
      </c>
      <c r="N93" s="71">
        <f t="shared" si="8"/>
        <v>2</v>
      </c>
      <c r="O93" s="72">
        <f t="shared" si="9"/>
        <v>4239.4800000000005</v>
      </c>
      <c r="P93" s="274">
        <f t="shared" si="10"/>
        <v>8478.9600000000009</v>
      </c>
      <c r="Q93" s="296">
        <v>2</v>
      </c>
      <c r="R93" s="289"/>
      <c r="T93" s="190" t="s">
        <v>1070</v>
      </c>
      <c r="U93" s="121" t="s">
        <v>1084</v>
      </c>
      <c r="V93" s="186" t="s">
        <v>931</v>
      </c>
    </row>
    <row r="94" spans="2:22" s="170" customFormat="1" ht="12.75" x14ac:dyDescent="0.2">
      <c r="B94" s="165"/>
      <c r="C94" s="252"/>
      <c r="D94" s="253" t="s">
        <v>4</v>
      </c>
      <c r="E94" s="254" t="s">
        <v>118</v>
      </c>
      <c r="F94" s="254" t="s">
        <v>385</v>
      </c>
      <c r="G94" s="252"/>
      <c r="H94" s="252"/>
      <c r="I94" s="255"/>
      <c r="J94" s="256">
        <f>+SUBTOTAL(9,J95:J96)</f>
        <v>101577.7</v>
      </c>
      <c r="K94" s="261"/>
      <c r="L94" s="262"/>
      <c r="M94" s="279">
        <f>SUM(M95:M96)</f>
        <v>0</v>
      </c>
      <c r="N94" s="280"/>
      <c r="O94" s="262"/>
      <c r="P94" s="279">
        <f>SUM(P95:P96)</f>
        <v>101577.651</v>
      </c>
      <c r="Q94" s="297"/>
      <c r="R94" s="290"/>
    </row>
    <row r="95" spans="2:22" s="121" customFormat="1" ht="12" x14ac:dyDescent="0.2">
      <c r="B95" s="120"/>
      <c r="C95" s="56" t="s">
        <v>331</v>
      </c>
      <c r="D95" s="56" t="s">
        <v>96</v>
      </c>
      <c r="E95" s="57" t="s">
        <v>387</v>
      </c>
      <c r="F95" s="58" t="s">
        <v>388</v>
      </c>
      <c r="G95" s="59" t="s">
        <v>133</v>
      </c>
      <c r="H95" s="60">
        <v>634.9</v>
      </c>
      <c r="I95" s="61">
        <v>87.65</v>
      </c>
      <c r="J95" s="60">
        <v>55649</v>
      </c>
      <c r="K95" s="68">
        <v>0</v>
      </c>
      <c r="L95" s="69">
        <f t="shared" si="6"/>
        <v>87.65</v>
      </c>
      <c r="M95" s="273">
        <f t="shared" si="7"/>
        <v>0</v>
      </c>
      <c r="N95" s="71">
        <f t="shared" si="8"/>
        <v>634.9</v>
      </c>
      <c r="O95" s="72">
        <f t="shared" si="9"/>
        <v>87.65</v>
      </c>
      <c r="P95" s="274">
        <f t="shared" si="10"/>
        <v>55648.985000000001</v>
      </c>
      <c r="Q95" s="296">
        <v>538.64</v>
      </c>
      <c r="R95" s="289"/>
    </row>
    <row r="96" spans="2:22" s="121" customFormat="1" ht="12" x14ac:dyDescent="0.2">
      <c r="B96" s="120"/>
      <c r="C96" s="56" t="s">
        <v>334</v>
      </c>
      <c r="D96" s="56" t="s">
        <v>96</v>
      </c>
      <c r="E96" s="57" t="s">
        <v>390</v>
      </c>
      <c r="F96" s="58" t="s">
        <v>391</v>
      </c>
      <c r="G96" s="59" t="s">
        <v>133</v>
      </c>
      <c r="H96" s="60">
        <v>634.9</v>
      </c>
      <c r="I96" s="61">
        <v>72.34</v>
      </c>
      <c r="J96" s="60">
        <v>45928.7</v>
      </c>
      <c r="K96" s="68">
        <v>0</v>
      </c>
      <c r="L96" s="69">
        <f t="shared" si="6"/>
        <v>72.34</v>
      </c>
      <c r="M96" s="273">
        <f t="shared" si="7"/>
        <v>0</v>
      </c>
      <c r="N96" s="71">
        <f t="shared" si="8"/>
        <v>634.9</v>
      </c>
      <c r="O96" s="72">
        <f t="shared" si="9"/>
        <v>72.34</v>
      </c>
      <c r="P96" s="274">
        <f t="shared" si="10"/>
        <v>45928.665999999997</v>
      </c>
      <c r="Q96" s="296">
        <v>538.64</v>
      </c>
      <c r="R96" s="289"/>
    </row>
    <row r="97" spans="2:18" s="170" customFormat="1" ht="12.75" x14ac:dyDescent="0.2">
      <c r="B97" s="165"/>
      <c r="C97" s="252"/>
      <c r="D97" s="253" t="s">
        <v>4</v>
      </c>
      <c r="E97" s="254" t="s">
        <v>398</v>
      </c>
      <c r="F97" s="254" t="s">
        <v>399</v>
      </c>
      <c r="G97" s="252"/>
      <c r="H97" s="252"/>
      <c r="I97" s="255"/>
      <c r="J97" s="256">
        <f>+SUBTOTAL(9,J98:J100)</f>
        <v>130070.9</v>
      </c>
      <c r="K97" s="261"/>
      <c r="L97" s="262"/>
      <c r="M97" s="279">
        <f>SUM(M98:M100)</f>
        <v>-4620.9094999999998</v>
      </c>
      <c r="N97" s="280"/>
      <c r="O97" s="262"/>
      <c r="P97" s="279">
        <f>SUM(P98:P100)</f>
        <v>125450.0318</v>
      </c>
      <c r="Q97" s="297"/>
      <c r="R97" s="290"/>
    </row>
    <row r="98" spans="2:18" s="121" customFormat="1" ht="12" x14ac:dyDescent="0.2">
      <c r="B98" s="120"/>
      <c r="C98" s="56" t="s">
        <v>337</v>
      </c>
      <c r="D98" s="56" t="s">
        <v>96</v>
      </c>
      <c r="E98" s="57" t="s">
        <v>401</v>
      </c>
      <c r="F98" s="58" t="s">
        <v>402</v>
      </c>
      <c r="G98" s="59" t="s">
        <v>201</v>
      </c>
      <c r="H98" s="60">
        <v>330.82</v>
      </c>
      <c r="I98" s="61">
        <v>183.7</v>
      </c>
      <c r="J98" s="60">
        <v>60771.6</v>
      </c>
      <c r="K98" s="68">
        <f>ROUND(H98/$H$91*$K$91,2)</f>
        <v>-18.04</v>
      </c>
      <c r="L98" s="69">
        <f t="shared" si="6"/>
        <v>183.7</v>
      </c>
      <c r="M98" s="273">
        <f t="shared" si="7"/>
        <v>-3313.9479999999999</v>
      </c>
      <c r="N98" s="71">
        <f t="shared" si="8"/>
        <v>312.77999999999997</v>
      </c>
      <c r="O98" s="72">
        <f t="shared" si="9"/>
        <v>183.7</v>
      </c>
      <c r="P98" s="274">
        <f t="shared" si="10"/>
        <v>57457.685999999994</v>
      </c>
      <c r="Q98" s="296">
        <v>283.48</v>
      </c>
      <c r="R98" s="289"/>
    </row>
    <row r="99" spans="2:18" s="121" customFormat="1" ht="12" x14ac:dyDescent="0.2">
      <c r="B99" s="120"/>
      <c r="C99" s="56" t="s">
        <v>340</v>
      </c>
      <c r="D99" s="56" t="s">
        <v>96</v>
      </c>
      <c r="E99" s="57" t="s">
        <v>407</v>
      </c>
      <c r="F99" s="58" t="s">
        <v>408</v>
      </c>
      <c r="G99" s="59" t="s">
        <v>201</v>
      </c>
      <c r="H99" s="60">
        <v>175.86</v>
      </c>
      <c r="I99" s="61">
        <v>257.77999999999997</v>
      </c>
      <c r="J99" s="60">
        <v>45333.2</v>
      </c>
      <c r="K99" s="68">
        <v>0</v>
      </c>
      <c r="L99" s="69">
        <f t="shared" si="6"/>
        <v>257.77999999999997</v>
      </c>
      <c r="M99" s="273">
        <f t="shared" si="7"/>
        <v>0</v>
      </c>
      <c r="N99" s="71">
        <f t="shared" si="8"/>
        <v>175.86</v>
      </c>
      <c r="O99" s="72">
        <f t="shared" si="9"/>
        <v>257.77999999999997</v>
      </c>
      <c r="P99" s="274">
        <f t="shared" si="10"/>
        <v>45333.190799999997</v>
      </c>
      <c r="Q99" s="296">
        <v>150.51</v>
      </c>
      <c r="R99" s="289"/>
    </row>
    <row r="100" spans="2:18" s="121" customFormat="1" ht="12" x14ac:dyDescent="0.2">
      <c r="B100" s="120"/>
      <c r="C100" s="56" t="s">
        <v>343</v>
      </c>
      <c r="D100" s="56" t="s">
        <v>96</v>
      </c>
      <c r="E100" s="57" t="s">
        <v>410</v>
      </c>
      <c r="F100" s="58" t="s">
        <v>411</v>
      </c>
      <c r="G100" s="59" t="s">
        <v>201</v>
      </c>
      <c r="H100" s="60">
        <v>154.94999999999999</v>
      </c>
      <c r="I100" s="61">
        <v>154.66999999999999</v>
      </c>
      <c r="J100" s="60">
        <v>23966.1</v>
      </c>
      <c r="K100" s="68">
        <f>ROUND(H100/$H$91*$K$91,2)</f>
        <v>-8.4499999999999993</v>
      </c>
      <c r="L100" s="69">
        <f t="shared" si="6"/>
        <v>154.66999999999999</v>
      </c>
      <c r="M100" s="273">
        <f t="shared" si="7"/>
        <v>-1306.9614999999999</v>
      </c>
      <c r="N100" s="71">
        <f t="shared" si="8"/>
        <v>146.5</v>
      </c>
      <c r="O100" s="72">
        <f t="shared" si="9"/>
        <v>154.66999999999999</v>
      </c>
      <c r="P100" s="274">
        <f t="shared" si="10"/>
        <v>22659.154999999999</v>
      </c>
      <c r="Q100" s="296">
        <v>132.96</v>
      </c>
      <c r="R100" s="289"/>
    </row>
    <row r="101" spans="2:18" s="170" customFormat="1" ht="12.75" x14ac:dyDescent="0.2">
      <c r="B101" s="165"/>
      <c r="C101" s="252"/>
      <c r="D101" s="253" t="s">
        <v>4</v>
      </c>
      <c r="E101" s="254" t="s">
        <v>412</v>
      </c>
      <c r="F101" s="254" t="s">
        <v>413</v>
      </c>
      <c r="G101" s="252"/>
      <c r="H101" s="252"/>
      <c r="I101" s="255"/>
      <c r="J101" s="256">
        <f>+SUBTOTAL(9,J102)</f>
        <v>101325.8</v>
      </c>
      <c r="K101" s="261"/>
      <c r="L101" s="262"/>
      <c r="M101" s="279">
        <f>M102</f>
        <v>-5524.1976000000004</v>
      </c>
      <c r="N101" s="280"/>
      <c r="O101" s="262"/>
      <c r="P101" s="279">
        <f>P102</f>
        <v>95801.577600000004</v>
      </c>
      <c r="Q101" s="297"/>
      <c r="R101" s="290"/>
    </row>
    <row r="102" spans="2:18" s="121" customFormat="1" ht="12" x14ac:dyDescent="0.2">
      <c r="B102" s="120"/>
      <c r="C102" s="56" t="s">
        <v>346</v>
      </c>
      <c r="D102" s="56" t="s">
        <v>96</v>
      </c>
      <c r="E102" s="57" t="s">
        <v>415</v>
      </c>
      <c r="F102" s="58" t="s">
        <v>416</v>
      </c>
      <c r="G102" s="59" t="s">
        <v>201</v>
      </c>
      <c r="H102" s="60">
        <v>885.56</v>
      </c>
      <c r="I102" s="61">
        <v>114.42</v>
      </c>
      <c r="J102" s="60">
        <v>101325.8</v>
      </c>
      <c r="K102" s="68">
        <f>ROUND(H102/$H$91*$K$91,2)</f>
        <v>-48.28</v>
      </c>
      <c r="L102" s="69">
        <f t="shared" si="6"/>
        <v>114.42</v>
      </c>
      <c r="M102" s="273">
        <f t="shared" si="7"/>
        <v>-5524.1976000000004</v>
      </c>
      <c r="N102" s="71">
        <f t="shared" si="8"/>
        <v>837.28</v>
      </c>
      <c r="O102" s="72">
        <f t="shared" si="9"/>
        <v>114.42</v>
      </c>
      <c r="P102" s="274">
        <f t="shared" si="10"/>
        <v>95801.577600000004</v>
      </c>
      <c r="Q102" s="296">
        <v>748.88</v>
      </c>
      <c r="R102" s="289"/>
    </row>
    <row r="103" spans="2:18" s="121" customFormat="1" x14ac:dyDescent="0.2">
      <c r="B103" s="120"/>
      <c r="C103" s="120"/>
      <c r="D103" s="120"/>
      <c r="E103" s="120"/>
      <c r="F103" s="120"/>
      <c r="G103" s="120"/>
      <c r="H103" s="120"/>
      <c r="I103" s="153"/>
      <c r="J103" s="120"/>
    </row>
    <row r="104" spans="2:18" ht="12.75" x14ac:dyDescent="0.2">
      <c r="D104" s="42"/>
      <c r="E104" s="43" t="s">
        <v>890</v>
      </c>
      <c r="F104" s="44"/>
      <c r="G104" s="44"/>
      <c r="H104" s="45"/>
      <c r="I104" s="44"/>
      <c r="J104" s="46">
        <f>ROUND(SUBTOTAL(9,J12:J102),2)</f>
        <v>3708175.5</v>
      </c>
      <c r="K104" s="49"/>
      <c r="L104" s="46"/>
      <c r="M104" s="281">
        <f>M101+M97+M94+M68+M62+M51+M48+M14</f>
        <v>-125807.45729999999</v>
      </c>
      <c r="N104" s="281"/>
      <c r="O104" s="281"/>
      <c r="P104" s="281">
        <f t="shared" ref="P104" si="11">P101+P97+P94+P68+P62+P51+P48+P14</f>
        <v>3582367.6670999993</v>
      </c>
      <c r="Q104" s="281"/>
      <c r="R104" s="281"/>
    </row>
    <row r="105" spans="2:18" ht="12.75" x14ac:dyDescent="0.2">
      <c r="H105" s="50"/>
      <c r="I105" s="8"/>
      <c r="J105" s="9"/>
    </row>
    <row r="106" spans="2:18" ht="12.75" x14ac:dyDescent="0.2">
      <c r="H106" s="50"/>
      <c r="I106" s="8"/>
      <c r="J106" s="9"/>
    </row>
    <row r="107" spans="2:18" ht="14.25" x14ac:dyDescent="0.2">
      <c r="E107" s="6" t="s">
        <v>849</v>
      </c>
      <c r="F107" s="6"/>
      <c r="G107" s="320" t="s">
        <v>1224</v>
      </c>
      <c r="H107" s="50"/>
      <c r="I107" s="8"/>
      <c r="J107" s="6"/>
      <c r="K107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102" xr:uid="{00000000-0001-0000-0F00-000000000000}"/>
  <mergeCells count="4">
    <mergeCell ref="AG12:AG14"/>
    <mergeCell ref="AJ12:AJ14"/>
    <mergeCell ref="K9:M9"/>
    <mergeCell ref="N9:P9"/>
  </mergeCells>
  <conditionalFormatting sqref="E106:K106 D106:D107 G107:I107 L106:P107">
    <cfRule type="cellIs" dxfId="463" priority="4" operator="lessThan">
      <formula>0</formula>
    </cfRule>
  </conditionalFormatting>
  <conditionalFormatting sqref="G107:I107 L107:M107">
    <cfRule type="cellIs" dxfId="462" priority="3" operator="lessThan">
      <formula>0</formula>
    </cfRule>
  </conditionalFormatting>
  <conditionalFormatting sqref="G107:I107">
    <cfRule type="cellIs" dxfId="461" priority="2" operator="lessThan">
      <formula>0</formula>
    </cfRule>
  </conditionalFormatting>
  <conditionalFormatting sqref="G107:I107">
    <cfRule type="cellIs" dxfId="460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0" fitToHeight="0" orientation="landscape" r:id="rId1"/>
  <headerFooter>
    <oddFooter>&amp;CStrana &amp;P z &amp;N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1:U79"/>
  <sheetViews>
    <sheetView showGridLines="0" view="pageBreakPreview" topLeftCell="B45" zoomScale="60" zoomScaleNormal="85" workbookViewId="0">
      <selection activeCell="L68" sqref="L68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9" width="16" style="8" customWidth="1"/>
    <col min="20" max="20" width="27.5" style="8" bestFit="1" customWidth="1"/>
    <col min="21" max="21" width="19" style="8" bestFit="1" customWidth="1"/>
    <col min="22" max="16384" width="9.33203125" style="8"/>
  </cols>
  <sheetData>
    <row r="1" spans="2:20" ht="18.95" customHeight="1" x14ac:dyDescent="0.2">
      <c r="F1" s="11"/>
      <c r="G1" s="89"/>
      <c r="H1" s="88"/>
      <c r="I1" s="8"/>
      <c r="J1" s="9"/>
    </row>
    <row r="2" spans="2:20" s="88" customFormat="1" ht="18" customHeight="1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20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20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20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20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20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20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B3.1 - Stoka B3.1</v>
      </c>
      <c r="M8" s="150"/>
      <c r="O8" s="151"/>
    </row>
    <row r="9" spans="2:20" s="15" customFormat="1" ht="20.100000000000001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  <c r="Q9" s="87"/>
    </row>
    <row r="10" spans="2:20" s="15" customFormat="1" ht="24" customHeight="1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41"/>
      <c r="T10" s="189" t="s">
        <v>1110</v>
      </c>
    </row>
    <row r="11" spans="2:20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20" s="121" customFormat="1" ht="22.9" customHeight="1" x14ac:dyDescent="0.25">
      <c r="B12" s="120"/>
      <c r="C12" s="152" t="s">
        <v>483</v>
      </c>
      <c r="D12" s="120"/>
      <c r="E12" s="120"/>
      <c r="F12" s="120"/>
      <c r="G12" s="120"/>
      <c r="H12" s="120"/>
      <c r="I12" s="153"/>
      <c r="J12" s="154">
        <f>+SUBTOTAL(9,J13:J75)</f>
        <v>287787.59999999998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20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+SUBTOTAL(9,J14:J75)</f>
        <v>287787.59999999998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20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+SUBTOTAL(9,J15:J35)</f>
        <v>111225.7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SUM(M15:M35)</f>
        <v>-1601.5405848275775</v>
      </c>
      <c r="N14" s="278" t="str">
        <f>IF(ISBLANK(H14),"",H14-K14)</f>
        <v/>
      </c>
      <c r="O14" s="272" t="str">
        <f>IF(ISBLANK(H14),"",J14-L14)</f>
        <v/>
      </c>
      <c r="P14" s="272">
        <f>SUM(P15:P35)</f>
        <v>109623.85971517244</v>
      </c>
      <c r="Q14" s="218" t="s">
        <v>1216</v>
      </c>
    </row>
    <row r="15" spans="2:20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31.9</v>
      </c>
      <c r="I15" s="61">
        <v>40.770000000000003</v>
      </c>
      <c r="J15" s="60">
        <v>1300.5999999999999</v>
      </c>
      <c r="K15" s="68">
        <f>28.6/29*Q15-Q15</f>
        <v>-0.45931034482758548</v>
      </c>
      <c r="L15" s="69">
        <f>I15</f>
        <v>40.770000000000003</v>
      </c>
      <c r="M15" s="273">
        <f>K15*L15</f>
        <v>-18.726082758620663</v>
      </c>
      <c r="N15" s="71">
        <f>K15+H15</f>
        <v>31.440689655172413</v>
      </c>
      <c r="O15" s="72">
        <f>I15</f>
        <v>40.770000000000003</v>
      </c>
      <c r="P15" s="274">
        <f>N15*O15</f>
        <v>1281.8369172413793</v>
      </c>
      <c r="Q15" s="291">
        <f>ROUND(29/27.78*H15,2)</f>
        <v>33.299999999999997</v>
      </c>
      <c r="R15" s="121">
        <f t="shared" ref="R15:R46" si="0">H15*0.05</f>
        <v>1.595</v>
      </c>
      <c r="S15" s="194">
        <f t="shared" ref="S15:S46" si="1">H15-R15</f>
        <v>30.305</v>
      </c>
    </row>
    <row r="16" spans="2:20" s="121" customFormat="1" ht="16.5" customHeight="1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60.9</v>
      </c>
      <c r="I16" s="61">
        <v>55.24</v>
      </c>
      <c r="J16" s="60">
        <v>3364.1</v>
      </c>
      <c r="K16" s="68">
        <f t="shared" ref="K16:K38" si="2">28.6/29*Q16-Q16</f>
        <v>-0.87682758620689327</v>
      </c>
      <c r="L16" s="69">
        <f t="shared" ref="L16:L75" si="3">I16</f>
        <v>55.24</v>
      </c>
      <c r="M16" s="273">
        <f t="shared" ref="M16:M75" si="4">K16*L16</f>
        <v>-48.435955862068788</v>
      </c>
      <c r="N16" s="71">
        <f t="shared" ref="N16:N75" si="5">K16+H16</f>
        <v>60.023172413793105</v>
      </c>
      <c r="O16" s="72">
        <f t="shared" ref="O16:O75" si="6">I16</f>
        <v>55.24</v>
      </c>
      <c r="P16" s="274">
        <f t="shared" ref="P16:P75" si="7">N16*O16</f>
        <v>3315.6800441379314</v>
      </c>
      <c r="Q16" s="291">
        <f t="shared" ref="Q16:Q75" si="8">ROUND(29/27.78*H16,2)</f>
        <v>63.57</v>
      </c>
      <c r="R16" s="121">
        <f t="shared" si="0"/>
        <v>3.0449999999999999</v>
      </c>
      <c r="S16" s="194">
        <f t="shared" si="1"/>
        <v>57.854999999999997</v>
      </c>
    </row>
    <row r="17" spans="2:19" s="121" customFormat="1" ht="16.5" customHeight="1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31.9</v>
      </c>
      <c r="I17" s="61">
        <v>151.25</v>
      </c>
      <c r="J17" s="60">
        <v>4824.8999999999996</v>
      </c>
      <c r="K17" s="68">
        <f t="shared" si="2"/>
        <v>-0.45931034482758548</v>
      </c>
      <c r="L17" s="69">
        <f t="shared" si="3"/>
        <v>151.25</v>
      </c>
      <c r="M17" s="273">
        <f t="shared" si="4"/>
        <v>-69.470689655172308</v>
      </c>
      <c r="N17" s="71">
        <f t="shared" si="5"/>
        <v>31.440689655172413</v>
      </c>
      <c r="O17" s="72">
        <f t="shared" si="6"/>
        <v>151.25</v>
      </c>
      <c r="P17" s="274">
        <f t="shared" si="7"/>
        <v>4755.4043103448275</v>
      </c>
      <c r="Q17" s="291">
        <f t="shared" si="8"/>
        <v>33.299999999999997</v>
      </c>
      <c r="R17" s="121">
        <f t="shared" si="0"/>
        <v>1.595</v>
      </c>
      <c r="S17" s="194">
        <f t="shared" si="1"/>
        <v>30.305</v>
      </c>
    </row>
    <row r="18" spans="2:19" s="121" customFormat="1" ht="16.5" customHeight="1" x14ac:dyDescent="0.2">
      <c r="B18" s="120"/>
      <c r="C18" s="56" t="s">
        <v>105</v>
      </c>
      <c r="D18" s="56" t="s">
        <v>96</v>
      </c>
      <c r="E18" s="57" t="s">
        <v>145</v>
      </c>
      <c r="F18" s="58" t="s">
        <v>146</v>
      </c>
      <c r="G18" s="59" t="s">
        <v>133</v>
      </c>
      <c r="H18" s="60">
        <v>5.5</v>
      </c>
      <c r="I18" s="61">
        <v>147.30000000000001</v>
      </c>
      <c r="J18" s="60">
        <v>810.2</v>
      </c>
      <c r="K18" s="68">
        <f t="shared" si="2"/>
        <v>-7.9172413793102692E-2</v>
      </c>
      <c r="L18" s="69">
        <f t="shared" si="3"/>
        <v>147.30000000000001</v>
      </c>
      <c r="M18" s="273">
        <f t="shared" si="4"/>
        <v>-11.662096551724028</v>
      </c>
      <c r="N18" s="71">
        <f t="shared" si="5"/>
        <v>5.4208275862068973</v>
      </c>
      <c r="O18" s="72">
        <f t="shared" si="6"/>
        <v>147.30000000000001</v>
      </c>
      <c r="P18" s="274">
        <f t="shared" si="7"/>
        <v>798.48790344827603</v>
      </c>
      <c r="Q18" s="291">
        <f t="shared" si="8"/>
        <v>5.74</v>
      </c>
      <c r="R18" s="121">
        <f t="shared" si="0"/>
        <v>0.27500000000000002</v>
      </c>
      <c r="S18" s="194">
        <f t="shared" si="1"/>
        <v>5.2249999999999996</v>
      </c>
    </row>
    <row r="19" spans="2:19" s="121" customFormat="1" ht="16.5" customHeight="1" x14ac:dyDescent="0.2">
      <c r="B19" s="120"/>
      <c r="C19" s="56" t="s">
        <v>109</v>
      </c>
      <c r="D19" s="56" t="s">
        <v>96</v>
      </c>
      <c r="E19" s="57" t="s">
        <v>155</v>
      </c>
      <c r="F19" s="58" t="s">
        <v>156</v>
      </c>
      <c r="G19" s="59" t="s">
        <v>150</v>
      </c>
      <c r="H19" s="60">
        <v>13.29</v>
      </c>
      <c r="I19" s="61">
        <v>257.77999999999997</v>
      </c>
      <c r="J19" s="60">
        <v>3425.9</v>
      </c>
      <c r="K19" s="68">
        <f t="shared" si="2"/>
        <v>-0.1913103448275848</v>
      </c>
      <c r="L19" s="69">
        <f t="shared" si="3"/>
        <v>257.77999999999997</v>
      </c>
      <c r="M19" s="273">
        <f t="shared" si="4"/>
        <v>-49.315980689654808</v>
      </c>
      <c r="N19" s="71">
        <f t="shared" si="5"/>
        <v>13.098689655172414</v>
      </c>
      <c r="O19" s="72">
        <f t="shared" si="6"/>
        <v>257.77999999999997</v>
      </c>
      <c r="P19" s="274">
        <f t="shared" si="7"/>
        <v>3376.5802193103445</v>
      </c>
      <c r="Q19" s="291">
        <f t="shared" si="8"/>
        <v>13.87</v>
      </c>
      <c r="R19" s="121">
        <f t="shared" si="0"/>
        <v>0.66449999999999998</v>
      </c>
      <c r="S19" s="194">
        <f t="shared" si="1"/>
        <v>12.625499999999999</v>
      </c>
    </row>
    <row r="20" spans="2:19" s="121" customFormat="1" ht="16.5" customHeight="1" x14ac:dyDescent="0.2">
      <c r="B20" s="120"/>
      <c r="C20" s="56" t="s">
        <v>112</v>
      </c>
      <c r="D20" s="56" t="s">
        <v>96</v>
      </c>
      <c r="E20" s="57" t="s">
        <v>157</v>
      </c>
      <c r="F20" s="58" t="s">
        <v>158</v>
      </c>
      <c r="G20" s="59" t="s">
        <v>150</v>
      </c>
      <c r="H20" s="60">
        <v>23.46</v>
      </c>
      <c r="I20" s="61">
        <v>257.77999999999997</v>
      </c>
      <c r="J20" s="60">
        <v>6047.5</v>
      </c>
      <c r="K20" s="68">
        <f t="shared" si="2"/>
        <v>-0.33779310344827351</v>
      </c>
      <c r="L20" s="69">
        <f t="shared" si="3"/>
        <v>257.77999999999997</v>
      </c>
      <c r="M20" s="273">
        <f t="shared" si="4"/>
        <v>-87.076306206895936</v>
      </c>
      <c r="N20" s="71">
        <f t="shared" si="5"/>
        <v>23.122206896551727</v>
      </c>
      <c r="O20" s="72">
        <f t="shared" si="6"/>
        <v>257.77999999999997</v>
      </c>
      <c r="P20" s="274">
        <f t="shared" si="7"/>
        <v>5960.4424937931035</v>
      </c>
      <c r="Q20" s="291">
        <f t="shared" si="8"/>
        <v>24.49</v>
      </c>
      <c r="R20" s="121">
        <f t="shared" si="0"/>
        <v>1.173</v>
      </c>
      <c r="S20" s="194">
        <f t="shared" si="1"/>
        <v>22.286999999999999</v>
      </c>
    </row>
    <row r="21" spans="2:19" s="121" customFormat="1" ht="16.5" customHeight="1" x14ac:dyDescent="0.2">
      <c r="B21" s="120"/>
      <c r="C21" s="56" t="s">
        <v>115</v>
      </c>
      <c r="D21" s="56" t="s">
        <v>96</v>
      </c>
      <c r="E21" s="57" t="s">
        <v>160</v>
      </c>
      <c r="F21" s="58" t="s">
        <v>161</v>
      </c>
      <c r="G21" s="59" t="s">
        <v>150</v>
      </c>
      <c r="H21" s="60">
        <v>7.04</v>
      </c>
      <c r="I21" s="61">
        <v>13.15</v>
      </c>
      <c r="J21" s="60">
        <v>92.6</v>
      </c>
      <c r="K21" s="68">
        <f t="shared" si="2"/>
        <v>-0.10137931034482683</v>
      </c>
      <c r="L21" s="69">
        <f t="shared" si="3"/>
        <v>13.15</v>
      </c>
      <c r="M21" s="273">
        <f t="shared" si="4"/>
        <v>-1.3331379310344729</v>
      </c>
      <c r="N21" s="71">
        <f t="shared" si="5"/>
        <v>6.9386206896551732</v>
      </c>
      <c r="O21" s="72">
        <f t="shared" si="6"/>
        <v>13.15</v>
      </c>
      <c r="P21" s="274">
        <f t="shared" si="7"/>
        <v>91.242862068965536</v>
      </c>
      <c r="Q21" s="291">
        <f t="shared" si="8"/>
        <v>7.35</v>
      </c>
      <c r="R21" s="121">
        <f t="shared" si="0"/>
        <v>0.35200000000000004</v>
      </c>
      <c r="S21" s="194">
        <f t="shared" si="1"/>
        <v>6.6879999999999997</v>
      </c>
    </row>
    <row r="22" spans="2:19" s="121" customFormat="1" ht="16.5" customHeight="1" x14ac:dyDescent="0.2">
      <c r="B22" s="120"/>
      <c r="C22" s="56" t="s">
        <v>118</v>
      </c>
      <c r="D22" s="56" t="s">
        <v>96</v>
      </c>
      <c r="E22" s="57" t="s">
        <v>163</v>
      </c>
      <c r="F22" s="58" t="s">
        <v>164</v>
      </c>
      <c r="G22" s="59" t="s">
        <v>150</v>
      </c>
      <c r="H22" s="60">
        <v>36.42</v>
      </c>
      <c r="I22" s="61">
        <v>315.64999999999998</v>
      </c>
      <c r="J22" s="60">
        <v>11496</v>
      </c>
      <c r="K22" s="68">
        <f t="shared" si="2"/>
        <v>-0.52441379310344161</v>
      </c>
      <c r="L22" s="69">
        <f t="shared" si="3"/>
        <v>315.64999999999998</v>
      </c>
      <c r="M22" s="273">
        <f t="shared" si="4"/>
        <v>-165.53121379310133</v>
      </c>
      <c r="N22" s="71">
        <f t="shared" si="5"/>
        <v>35.89558620689656</v>
      </c>
      <c r="O22" s="72">
        <f t="shared" si="6"/>
        <v>315.64999999999998</v>
      </c>
      <c r="P22" s="274">
        <f t="shared" si="7"/>
        <v>11330.441786206899</v>
      </c>
      <c r="Q22" s="291">
        <f t="shared" si="8"/>
        <v>38.020000000000003</v>
      </c>
      <c r="R22" s="121">
        <f t="shared" si="0"/>
        <v>1.8210000000000002</v>
      </c>
      <c r="S22" s="194">
        <f t="shared" si="1"/>
        <v>34.599000000000004</v>
      </c>
    </row>
    <row r="23" spans="2:19" s="121" customFormat="1" ht="16.5" customHeight="1" x14ac:dyDescent="0.2">
      <c r="B23" s="120"/>
      <c r="C23" s="56" t="s">
        <v>121</v>
      </c>
      <c r="D23" s="56" t="s">
        <v>96</v>
      </c>
      <c r="E23" s="57" t="s">
        <v>166</v>
      </c>
      <c r="F23" s="58" t="s">
        <v>167</v>
      </c>
      <c r="G23" s="59" t="s">
        <v>150</v>
      </c>
      <c r="H23" s="60">
        <v>10.93</v>
      </c>
      <c r="I23" s="61">
        <v>15.78</v>
      </c>
      <c r="J23" s="60">
        <v>172.5</v>
      </c>
      <c r="K23" s="68">
        <f t="shared" si="2"/>
        <v>-0.157379310344826</v>
      </c>
      <c r="L23" s="69">
        <f t="shared" si="3"/>
        <v>15.78</v>
      </c>
      <c r="M23" s="273">
        <f t="shared" si="4"/>
        <v>-2.4834455172413543</v>
      </c>
      <c r="N23" s="71">
        <f t="shared" si="5"/>
        <v>10.772620689655174</v>
      </c>
      <c r="O23" s="72">
        <f t="shared" si="6"/>
        <v>15.78</v>
      </c>
      <c r="P23" s="274">
        <f t="shared" si="7"/>
        <v>169.99195448275864</v>
      </c>
      <c r="Q23" s="291">
        <f t="shared" si="8"/>
        <v>11.41</v>
      </c>
      <c r="R23" s="121">
        <f t="shared" si="0"/>
        <v>0.54649999999999999</v>
      </c>
      <c r="S23" s="194">
        <f t="shared" si="1"/>
        <v>10.3835</v>
      </c>
    </row>
    <row r="24" spans="2:19" s="121" customFormat="1" ht="16.5" customHeight="1" x14ac:dyDescent="0.2">
      <c r="B24" s="120"/>
      <c r="C24" s="56" t="s">
        <v>124</v>
      </c>
      <c r="D24" s="56" t="s">
        <v>96</v>
      </c>
      <c r="E24" s="57" t="s">
        <v>169</v>
      </c>
      <c r="F24" s="58" t="s">
        <v>170</v>
      </c>
      <c r="G24" s="59" t="s">
        <v>150</v>
      </c>
      <c r="H24" s="60">
        <v>5.98</v>
      </c>
      <c r="I24" s="61">
        <v>837.79</v>
      </c>
      <c r="J24" s="60">
        <v>5010</v>
      </c>
      <c r="K24" s="68">
        <f t="shared" si="2"/>
        <v>-8.6068965517241303E-2</v>
      </c>
      <c r="L24" s="69">
        <f t="shared" si="3"/>
        <v>837.79</v>
      </c>
      <c r="M24" s="273">
        <f t="shared" si="4"/>
        <v>-72.107718620689582</v>
      </c>
      <c r="N24" s="71">
        <f t="shared" si="5"/>
        <v>5.8939310344827591</v>
      </c>
      <c r="O24" s="72">
        <f t="shared" si="6"/>
        <v>837.79</v>
      </c>
      <c r="P24" s="274">
        <f t="shared" si="7"/>
        <v>4937.8764813793105</v>
      </c>
      <c r="Q24" s="291">
        <f t="shared" si="8"/>
        <v>6.24</v>
      </c>
      <c r="R24" s="121">
        <f t="shared" si="0"/>
        <v>0.29900000000000004</v>
      </c>
      <c r="S24" s="194">
        <f t="shared" si="1"/>
        <v>5.681</v>
      </c>
    </row>
    <row r="25" spans="2:19" s="121" customFormat="1" ht="16.5" customHeight="1" x14ac:dyDescent="0.2">
      <c r="B25" s="120"/>
      <c r="C25" s="56" t="s">
        <v>127</v>
      </c>
      <c r="D25" s="56" t="s">
        <v>96</v>
      </c>
      <c r="E25" s="57" t="s">
        <v>172</v>
      </c>
      <c r="F25" s="58" t="s">
        <v>173</v>
      </c>
      <c r="G25" s="59" t="s">
        <v>150</v>
      </c>
      <c r="H25" s="60">
        <v>0.6</v>
      </c>
      <c r="I25" s="61">
        <v>1116.6199999999999</v>
      </c>
      <c r="J25" s="60">
        <v>670</v>
      </c>
      <c r="K25" s="68">
        <f t="shared" si="2"/>
        <v>-8.6896551724137128E-3</v>
      </c>
      <c r="L25" s="69">
        <f t="shared" si="3"/>
        <v>1116.6199999999999</v>
      </c>
      <c r="M25" s="273">
        <f t="shared" si="4"/>
        <v>-9.7030427586205992</v>
      </c>
      <c r="N25" s="71">
        <f t="shared" si="5"/>
        <v>0.59131034482758627</v>
      </c>
      <c r="O25" s="72">
        <f t="shared" si="6"/>
        <v>1116.6199999999999</v>
      </c>
      <c r="P25" s="274">
        <f t="shared" si="7"/>
        <v>660.26895724137933</v>
      </c>
      <c r="Q25" s="291">
        <f t="shared" si="8"/>
        <v>0.63</v>
      </c>
      <c r="R25" s="121">
        <f t="shared" si="0"/>
        <v>0.03</v>
      </c>
      <c r="S25" s="194">
        <f t="shared" si="1"/>
        <v>0.56999999999999995</v>
      </c>
    </row>
    <row r="26" spans="2:19" s="121" customFormat="1" ht="16.5" customHeight="1" x14ac:dyDescent="0.2">
      <c r="B26" s="120"/>
      <c r="C26" s="56" t="s">
        <v>130</v>
      </c>
      <c r="D26" s="56" t="s">
        <v>96</v>
      </c>
      <c r="E26" s="57" t="s">
        <v>175</v>
      </c>
      <c r="F26" s="58" t="s">
        <v>176</v>
      </c>
      <c r="G26" s="59" t="s">
        <v>108</v>
      </c>
      <c r="H26" s="60">
        <v>133.66</v>
      </c>
      <c r="I26" s="61">
        <v>99.96</v>
      </c>
      <c r="J26" s="60">
        <v>13360.7</v>
      </c>
      <c r="K26" s="68">
        <f t="shared" si="2"/>
        <v>-1.9245517241379275</v>
      </c>
      <c r="L26" s="69">
        <f t="shared" si="3"/>
        <v>99.96</v>
      </c>
      <c r="M26" s="273">
        <f t="shared" si="4"/>
        <v>-192.37819034482723</v>
      </c>
      <c r="N26" s="71">
        <f t="shared" si="5"/>
        <v>131.73544827586207</v>
      </c>
      <c r="O26" s="72">
        <f t="shared" si="6"/>
        <v>99.96</v>
      </c>
      <c r="P26" s="274">
        <f t="shared" si="7"/>
        <v>13168.275409655171</v>
      </c>
      <c r="Q26" s="291">
        <f t="shared" si="8"/>
        <v>139.53</v>
      </c>
      <c r="R26" s="121">
        <f t="shared" si="0"/>
        <v>6.6829999999999998</v>
      </c>
      <c r="S26" s="194">
        <f t="shared" si="1"/>
        <v>126.977</v>
      </c>
    </row>
    <row r="27" spans="2:19" s="121" customFormat="1" ht="16.5" customHeight="1" x14ac:dyDescent="0.2">
      <c r="B27" s="120"/>
      <c r="C27" s="56" t="s">
        <v>134</v>
      </c>
      <c r="D27" s="56" t="s">
        <v>96</v>
      </c>
      <c r="E27" s="57" t="s">
        <v>181</v>
      </c>
      <c r="F27" s="58" t="s">
        <v>182</v>
      </c>
      <c r="G27" s="59" t="s">
        <v>108</v>
      </c>
      <c r="H27" s="60">
        <v>133.66</v>
      </c>
      <c r="I27" s="61">
        <v>149.94</v>
      </c>
      <c r="J27" s="60">
        <v>20041</v>
      </c>
      <c r="K27" s="68">
        <f t="shared" si="2"/>
        <v>-1.9245517241379275</v>
      </c>
      <c r="L27" s="69">
        <f t="shared" si="3"/>
        <v>149.94</v>
      </c>
      <c r="M27" s="273">
        <f t="shared" si="4"/>
        <v>-288.56728551724086</v>
      </c>
      <c r="N27" s="71">
        <f t="shared" si="5"/>
        <v>131.73544827586207</v>
      </c>
      <c r="O27" s="72">
        <f t="shared" si="6"/>
        <v>149.94</v>
      </c>
      <c r="P27" s="274">
        <f t="shared" si="7"/>
        <v>19752.413114482759</v>
      </c>
      <c r="Q27" s="291">
        <f t="shared" si="8"/>
        <v>139.53</v>
      </c>
      <c r="R27" s="121">
        <f t="shared" si="0"/>
        <v>6.6829999999999998</v>
      </c>
      <c r="S27" s="194">
        <f t="shared" si="1"/>
        <v>126.977</v>
      </c>
    </row>
    <row r="28" spans="2:19" s="121" customFormat="1" ht="16.5" customHeight="1" x14ac:dyDescent="0.2">
      <c r="B28" s="120"/>
      <c r="C28" s="56" t="s">
        <v>2</v>
      </c>
      <c r="D28" s="56" t="s">
        <v>96</v>
      </c>
      <c r="E28" s="57" t="s">
        <v>187</v>
      </c>
      <c r="F28" s="58" t="s">
        <v>188</v>
      </c>
      <c r="G28" s="59" t="s">
        <v>150</v>
      </c>
      <c r="H28" s="60">
        <v>108.36</v>
      </c>
      <c r="I28" s="61">
        <v>97.52</v>
      </c>
      <c r="J28" s="60">
        <v>10567.3</v>
      </c>
      <c r="K28" s="68">
        <f t="shared" si="2"/>
        <v>-1.5602758620689627</v>
      </c>
      <c r="L28" s="69">
        <f t="shared" si="3"/>
        <v>97.52</v>
      </c>
      <c r="M28" s="273">
        <f t="shared" si="4"/>
        <v>-152.15810206896523</v>
      </c>
      <c r="N28" s="71">
        <f t="shared" si="5"/>
        <v>106.79972413793104</v>
      </c>
      <c r="O28" s="72">
        <f t="shared" si="6"/>
        <v>97.52</v>
      </c>
      <c r="P28" s="274">
        <f t="shared" si="7"/>
        <v>10415.109097931034</v>
      </c>
      <c r="Q28" s="291">
        <f t="shared" si="8"/>
        <v>113.12</v>
      </c>
      <c r="R28" s="121">
        <f t="shared" si="0"/>
        <v>5.4180000000000001</v>
      </c>
      <c r="S28" s="194">
        <f t="shared" si="1"/>
        <v>102.94199999999999</v>
      </c>
    </row>
    <row r="29" spans="2:19" s="121" customFormat="1" ht="16.5" customHeight="1" x14ac:dyDescent="0.2">
      <c r="B29" s="120"/>
      <c r="C29" s="56" t="s">
        <v>141</v>
      </c>
      <c r="D29" s="56" t="s">
        <v>96</v>
      </c>
      <c r="E29" s="57" t="s">
        <v>190</v>
      </c>
      <c r="F29" s="58" t="s">
        <v>191</v>
      </c>
      <c r="G29" s="59" t="s">
        <v>150</v>
      </c>
      <c r="H29" s="60">
        <v>24.55</v>
      </c>
      <c r="I29" s="61">
        <v>247.39</v>
      </c>
      <c r="J29" s="60">
        <v>6073.4</v>
      </c>
      <c r="K29" s="68">
        <f t="shared" si="2"/>
        <v>-0.35351724137930773</v>
      </c>
      <c r="L29" s="69">
        <f t="shared" si="3"/>
        <v>247.39</v>
      </c>
      <c r="M29" s="273">
        <f t="shared" si="4"/>
        <v>-87.456630344826934</v>
      </c>
      <c r="N29" s="71">
        <f t="shared" si="5"/>
        <v>24.196482758620693</v>
      </c>
      <c r="O29" s="72">
        <f t="shared" si="6"/>
        <v>247.39</v>
      </c>
      <c r="P29" s="274">
        <f t="shared" si="7"/>
        <v>5985.9678696551728</v>
      </c>
      <c r="Q29" s="291">
        <f t="shared" si="8"/>
        <v>25.63</v>
      </c>
      <c r="R29" s="121">
        <f t="shared" si="0"/>
        <v>1.2275</v>
      </c>
      <c r="S29" s="194">
        <f t="shared" si="1"/>
        <v>23.322500000000002</v>
      </c>
    </row>
    <row r="30" spans="2:19" s="121" customFormat="1" ht="16.5" customHeight="1" x14ac:dyDescent="0.2">
      <c r="B30" s="120"/>
      <c r="C30" s="56" t="s">
        <v>144</v>
      </c>
      <c r="D30" s="56" t="s">
        <v>96</v>
      </c>
      <c r="E30" s="57" t="s">
        <v>193</v>
      </c>
      <c r="F30" s="58" t="s">
        <v>194</v>
      </c>
      <c r="G30" s="59" t="s">
        <v>150</v>
      </c>
      <c r="H30" s="60">
        <v>24.55</v>
      </c>
      <c r="I30" s="61">
        <v>44.72</v>
      </c>
      <c r="J30" s="60">
        <v>1097.9000000000001</v>
      </c>
      <c r="K30" s="68">
        <f t="shared" si="2"/>
        <v>-0.35351724137930773</v>
      </c>
      <c r="L30" s="69">
        <f t="shared" si="3"/>
        <v>44.72</v>
      </c>
      <c r="M30" s="273">
        <f t="shared" si="4"/>
        <v>-15.809291034482641</v>
      </c>
      <c r="N30" s="71">
        <f t="shared" si="5"/>
        <v>24.196482758620693</v>
      </c>
      <c r="O30" s="72">
        <f t="shared" si="6"/>
        <v>44.72</v>
      </c>
      <c r="P30" s="274">
        <f t="shared" si="7"/>
        <v>1082.0667089655174</v>
      </c>
      <c r="Q30" s="291">
        <f t="shared" si="8"/>
        <v>25.63</v>
      </c>
      <c r="R30" s="121">
        <f t="shared" si="0"/>
        <v>1.2275</v>
      </c>
      <c r="S30" s="194">
        <f t="shared" si="1"/>
        <v>23.322500000000002</v>
      </c>
    </row>
    <row r="31" spans="2:19" s="121" customFormat="1" ht="16.5" customHeight="1" x14ac:dyDescent="0.2">
      <c r="B31" s="120"/>
      <c r="C31" s="56" t="s">
        <v>147</v>
      </c>
      <c r="D31" s="56" t="s">
        <v>96</v>
      </c>
      <c r="E31" s="57" t="s">
        <v>196</v>
      </c>
      <c r="F31" s="58" t="s">
        <v>197</v>
      </c>
      <c r="G31" s="59" t="s">
        <v>150</v>
      </c>
      <c r="H31" s="60">
        <v>24.55</v>
      </c>
      <c r="I31" s="61">
        <v>11.84</v>
      </c>
      <c r="J31" s="60">
        <v>290.7</v>
      </c>
      <c r="K31" s="68">
        <f t="shared" si="2"/>
        <v>-0.35351724137930773</v>
      </c>
      <c r="L31" s="69">
        <f t="shared" si="3"/>
        <v>11.84</v>
      </c>
      <c r="M31" s="273">
        <f t="shared" si="4"/>
        <v>-4.1856441379310034</v>
      </c>
      <c r="N31" s="71">
        <f t="shared" si="5"/>
        <v>24.196482758620693</v>
      </c>
      <c r="O31" s="72">
        <f t="shared" si="6"/>
        <v>11.84</v>
      </c>
      <c r="P31" s="274">
        <f t="shared" si="7"/>
        <v>286.48635586206899</v>
      </c>
      <c r="Q31" s="291">
        <f t="shared" si="8"/>
        <v>25.63</v>
      </c>
      <c r="R31" s="121">
        <f t="shared" si="0"/>
        <v>1.2275</v>
      </c>
      <c r="S31" s="194">
        <f t="shared" si="1"/>
        <v>23.322500000000002</v>
      </c>
    </row>
    <row r="32" spans="2:19" s="121" customFormat="1" ht="16.5" customHeight="1" x14ac:dyDescent="0.2">
      <c r="B32" s="120"/>
      <c r="C32" s="56" t="s">
        <v>151</v>
      </c>
      <c r="D32" s="56" t="s">
        <v>96</v>
      </c>
      <c r="E32" s="57" t="s">
        <v>199</v>
      </c>
      <c r="F32" s="58" t="s">
        <v>200</v>
      </c>
      <c r="G32" s="59" t="s">
        <v>201</v>
      </c>
      <c r="H32" s="60">
        <v>49.1</v>
      </c>
      <c r="I32" s="61">
        <v>116</v>
      </c>
      <c r="J32" s="60">
        <v>5695.6</v>
      </c>
      <c r="K32" s="68">
        <f t="shared" si="2"/>
        <v>-0.70703448275861547</v>
      </c>
      <c r="L32" s="69">
        <f t="shared" si="3"/>
        <v>116</v>
      </c>
      <c r="M32" s="273">
        <f t="shared" si="4"/>
        <v>-82.015999999999394</v>
      </c>
      <c r="N32" s="71">
        <f t="shared" si="5"/>
        <v>48.392965517241386</v>
      </c>
      <c r="O32" s="72">
        <f t="shared" si="6"/>
        <v>116</v>
      </c>
      <c r="P32" s="274">
        <f t="shared" si="7"/>
        <v>5613.5840000000007</v>
      </c>
      <c r="Q32" s="291">
        <f t="shared" si="8"/>
        <v>51.26</v>
      </c>
      <c r="R32" s="121">
        <f t="shared" si="0"/>
        <v>2.4550000000000001</v>
      </c>
      <c r="S32" s="194">
        <f t="shared" si="1"/>
        <v>46.645000000000003</v>
      </c>
    </row>
    <row r="33" spans="2:21" s="121" customFormat="1" ht="16.5" customHeight="1" x14ac:dyDescent="0.2">
      <c r="B33" s="120"/>
      <c r="C33" s="56" t="s">
        <v>154</v>
      </c>
      <c r="D33" s="56" t="s">
        <v>96</v>
      </c>
      <c r="E33" s="57" t="s">
        <v>203</v>
      </c>
      <c r="F33" s="58" t="s">
        <v>204</v>
      </c>
      <c r="G33" s="59" t="s">
        <v>150</v>
      </c>
      <c r="H33" s="60">
        <v>41.9</v>
      </c>
      <c r="I33" s="61">
        <v>143.36000000000001</v>
      </c>
      <c r="J33" s="60">
        <v>6006.8</v>
      </c>
      <c r="K33" s="68">
        <f t="shared" si="2"/>
        <v>-0.60331034482758383</v>
      </c>
      <c r="L33" s="69">
        <f t="shared" si="3"/>
        <v>143.36000000000001</v>
      </c>
      <c r="M33" s="273">
        <f t="shared" si="4"/>
        <v>-86.490571034482429</v>
      </c>
      <c r="N33" s="71">
        <f t="shared" si="5"/>
        <v>41.296689655172415</v>
      </c>
      <c r="O33" s="72">
        <f t="shared" si="6"/>
        <v>143.36000000000001</v>
      </c>
      <c r="P33" s="274">
        <f t="shared" si="7"/>
        <v>5920.2934289655177</v>
      </c>
      <c r="Q33" s="291">
        <f t="shared" si="8"/>
        <v>43.74</v>
      </c>
      <c r="R33" s="121">
        <f t="shared" si="0"/>
        <v>2.0950000000000002</v>
      </c>
      <c r="S33" s="194">
        <f t="shared" si="1"/>
        <v>39.805</v>
      </c>
    </row>
    <row r="34" spans="2:21" s="121" customFormat="1" ht="16.5" customHeight="1" x14ac:dyDescent="0.2">
      <c r="B34" s="120"/>
      <c r="C34" s="56" t="s">
        <v>1</v>
      </c>
      <c r="D34" s="56" t="s">
        <v>96</v>
      </c>
      <c r="E34" s="57" t="s">
        <v>206</v>
      </c>
      <c r="F34" s="58" t="s">
        <v>207</v>
      </c>
      <c r="G34" s="59" t="s">
        <v>150</v>
      </c>
      <c r="H34" s="60">
        <v>16.39</v>
      </c>
      <c r="I34" s="61">
        <v>318.27999999999997</v>
      </c>
      <c r="J34" s="60">
        <v>5216.6000000000004</v>
      </c>
      <c r="K34" s="68">
        <f t="shared" si="2"/>
        <v>-0.2359999999999971</v>
      </c>
      <c r="L34" s="69">
        <f t="shared" si="3"/>
        <v>318.27999999999997</v>
      </c>
      <c r="M34" s="273">
        <f t="shared" si="4"/>
        <v>-75.114079999999078</v>
      </c>
      <c r="N34" s="71">
        <f t="shared" si="5"/>
        <v>16.154000000000003</v>
      </c>
      <c r="O34" s="72">
        <f t="shared" si="6"/>
        <v>318.27999999999997</v>
      </c>
      <c r="P34" s="274">
        <f t="shared" si="7"/>
        <v>5141.4951200000005</v>
      </c>
      <c r="Q34" s="291">
        <f t="shared" si="8"/>
        <v>17.11</v>
      </c>
      <c r="R34" s="121">
        <f t="shared" si="0"/>
        <v>0.81950000000000012</v>
      </c>
      <c r="S34" s="194">
        <f t="shared" si="1"/>
        <v>15.570500000000001</v>
      </c>
    </row>
    <row r="35" spans="2:21" s="121" customFormat="1" ht="16.5" customHeight="1" x14ac:dyDescent="0.2">
      <c r="B35" s="120"/>
      <c r="C35" s="73" t="s">
        <v>159</v>
      </c>
      <c r="D35" s="73" t="s">
        <v>209</v>
      </c>
      <c r="E35" s="74" t="s">
        <v>210</v>
      </c>
      <c r="F35" s="75" t="s">
        <v>211</v>
      </c>
      <c r="G35" s="76" t="s">
        <v>201</v>
      </c>
      <c r="H35" s="77">
        <v>32.78</v>
      </c>
      <c r="I35" s="78">
        <v>172.71</v>
      </c>
      <c r="J35" s="77">
        <v>5661.4</v>
      </c>
      <c r="K35" s="68">
        <f t="shared" si="2"/>
        <v>-0.4719999999999942</v>
      </c>
      <c r="L35" s="69">
        <f t="shared" si="3"/>
        <v>172.71</v>
      </c>
      <c r="M35" s="273">
        <f t="shared" si="4"/>
        <v>-81.519119999999006</v>
      </c>
      <c r="N35" s="71">
        <f t="shared" si="5"/>
        <v>32.308000000000007</v>
      </c>
      <c r="O35" s="72">
        <f t="shared" si="6"/>
        <v>172.71</v>
      </c>
      <c r="P35" s="274">
        <f t="shared" si="7"/>
        <v>5579.9146800000017</v>
      </c>
      <c r="Q35" s="291">
        <f t="shared" si="8"/>
        <v>34.22</v>
      </c>
      <c r="R35" s="121">
        <f t="shared" si="0"/>
        <v>1.6390000000000002</v>
      </c>
      <c r="S35" s="194">
        <f t="shared" si="1"/>
        <v>31.141000000000002</v>
      </c>
    </row>
    <row r="36" spans="2:21" s="170" customFormat="1" ht="22.9" customHeight="1" x14ac:dyDescent="0.2">
      <c r="B36" s="165"/>
      <c r="C36" s="252"/>
      <c r="D36" s="253" t="s">
        <v>4</v>
      </c>
      <c r="E36" s="254" t="s">
        <v>13</v>
      </c>
      <c r="F36" s="254" t="s">
        <v>222</v>
      </c>
      <c r="G36" s="252"/>
      <c r="H36" s="252"/>
      <c r="I36" s="255"/>
      <c r="J36" s="256">
        <f>+SUBTOTAL(9,J37:J38)</f>
        <v>1096.2</v>
      </c>
      <c r="K36" s="261"/>
      <c r="L36" s="262"/>
      <c r="M36" s="279">
        <f>SUM(M37:M38)</f>
        <v>-15.783999999999946</v>
      </c>
      <c r="N36" s="280"/>
      <c r="O36" s="262"/>
      <c r="P36" s="279">
        <f>SUM(P37:P38)</f>
        <v>1080.4148000000002</v>
      </c>
      <c r="Q36" s="291">
        <f t="shared" si="8"/>
        <v>0</v>
      </c>
      <c r="R36" s="121">
        <f t="shared" si="0"/>
        <v>0</v>
      </c>
      <c r="S36" s="194">
        <f t="shared" si="1"/>
        <v>0</v>
      </c>
    </row>
    <row r="37" spans="2:21" s="121" customFormat="1" ht="16.5" customHeight="1" x14ac:dyDescent="0.2">
      <c r="B37" s="120"/>
      <c r="C37" s="56" t="s">
        <v>162</v>
      </c>
      <c r="D37" s="56" t="s">
        <v>96</v>
      </c>
      <c r="E37" s="57" t="s">
        <v>224</v>
      </c>
      <c r="F37" s="58" t="s">
        <v>225</v>
      </c>
      <c r="G37" s="59" t="s">
        <v>133</v>
      </c>
      <c r="H37" s="60">
        <v>27.78</v>
      </c>
      <c r="I37" s="61">
        <v>32.880000000000003</v>
      </c>
      <c r="J37" s="60">
        <v>913.4</v>
      </c>
      <c r="K37" s="68">
        <f t="shared" si="2"/>
        <v>-0.39999999999999858</v>
      </c>
      <c r="L37" s="69">
        <f t="shared" si="3"/>
        <v>32.880000000000003</v>
      </c>
      <c r="M37" s="273">
        <f t="shared" si="4"/>
        <v>-13.151999999999955</v>
      </c>
      <c r="N37" s="71">
        <f t="shared" si="5"/>
        <v>27.380000000000003</v>
      </c>
      <c r="O37" s="72">
        <f t="shared" si="6"/>
        <v>32.880000000000003</v>
      </c>
      <c r="P37" s="274">
        <f t="shared" si="7"/>
        <v>900.25440000000015</v>
      </c>
      <c r="Q37" s="291">
        <f t="shared" si="8"/>
        <v>29</v>
      </c>
      <c r="R37" s="121">
        <f t="shared" si="0"/>
        <v>1.3890000000000002</v>
      </c>
      <c r="S37" s="194">
        <f t="shared" si="1"/>
        <v>26.391000000000002</v>
      </c>
    </row>
    <row r="38" spans="2:21" s="121" customFormat="1" ht="16.5" customHeight="1" x14ac:dyDescent="0.2">
      <c r="B38" s="120"/>
      <c r="C38" s="56" t="s">
        <v>165</v>
      </c>
      <c r="D38" s="56" t="s">
        <v>96</v>
      </c>
      <c r="E38" s="57" t="s">
        <v>227</v>
      </c>
      <c r="F38" s="58" t="s">
        <v>228</v>
      </c>
      <c r="G38" s="59" t="s">
        <v>133</v>
      </c>
      <c r="H38" s="60">
        <v>27.78</v>
      </c>
      <c r="I38" s="61">
        <v>6.58</v>
      </c>
      <c r="J38" s="60">
        <v>182.8</v>
      </c>
      <c r="K38" s="68">
        <f t="shared" si="2"/>
        <v>-0.39999999999999858</v>
      </c>
      <c r="L38" s="69">
        <f t="shared" si="3"/>
        <v>6.58</v>
      </c>
      <c r="M38" s="273">
        <f t="shared" si="4"/>
        <v>-2.6319999999999908</v>
      </c>
      <c r="N38" s="71">
        <f t="shared" si="5"/>
        <v>27.380000000000003</v>
      </c>
      <c r="O38" s="72">
        <f t="shared" si="6"/>
        <v>6.58</v>
      </c>
      <c r="P38" s="274">
        <f t="shared" si="7"/>
        <v>180.16040000000001</v>
      </c>
      <c r="Q38" s="291">
        <f t="shared" si="8"/>
        <v>29</v>
      </c>
      <c r="R38" s="121">
        <f t="shared" si="0"/>
        <v>1.3890000000000002</v>
      </c>
      <c r="S38" s="194">
        <f t="shared" si="1"/>
        <v>26.391000000000002</v>
      </c>
    </row>
    <row r="39" spans="2:21" s="170" customFormat="1" ht="22.9" customHeight="1" x14ac:dyDescent="0.2">
      <c r="B39" s="165"/>
      <c r="C39" s="252"/>
      <c r="D39" s="253" t="s">
        <v>4</v>
      </c>
      <c r="E39" s="254" t="s">
        <v>100</v>
      </c>
      <c r="F39" s="254" t="s">
        <v>229</v>
      </c>
      <c r="G39" s="252"/>
      <c r="H39" s="252"/>
      <c r="I39" s="255"/>
      <c r="J39" s="256">
        <f>+SUBTOTAL(9,J40:J43)</f>
        <v>14137.099999999999</v>
      </c>
      <c r="K39" s="261"/>
      <c r="L39" s="262"/>
      <c r="M39" s="279">
        <f>SUM(M40:M43)</f>
        <v>-195.46470620689664</v>
      </c>
      <c r="N39" s="280"/>
      <c r="O39" s="262"/>
      <c r="P39" s="279">
        <f>SUM(P40:P43)</f>
        <v>13941.637993793105</v>
      </c>
      <c r="Q39" s="291">
        <f t="shared" si="8"/>
        <v>0</v>
      </c>
      <c r="R39" s="121">
        <f t="shared" si="0"/>
        <v>0</v>
      </c>
      <c r="S39" s="194">
        <f t="shared" si="1"/>
        <v>0</v>
      </c>
    </row>
    <row r="40" spans="2:21" s="121" customFormat="1" ht="16.5" customHeight="1" x14ac:dyDescent="0.2">
      <c r="B40" s="120"/>
      <c r="C40" s="56" t="s">
        <v>168</v>
      </c>
      <c r="D40" s="56" t="s">
        <v>96</v>
      </c>
      <c r="E40" s="57" t="s">
        <v>246</v>
      </c>
      <c r="F40" s="58" t="s">
        <v>247</v>
      </c>
      <c r="G40" s="59" t="s">
        <v>99</v>
      </c>
      <c r="H40" s="60">
        <v>1</v>
      </c>
      <c r="I40" s="61">
        <v>152.57</v>
      </c>
      <c r="J40" s="60">
        <v>152.6</v>
      </c>
      <c r="K40" s="68">
        <v>0</v>
      </c>
      <c r="L40" s="69">
        <f t="shared" si="3"/>
        <v>152.57</v>
      </c>
      <c r="M40" s="273">
        <f t="shared" si="4"/>
        <v>0</v>
      </c>
      <c r="N40" s="71">
        <f t="shared" si="5"/>
        <v>1</v>
      </c>
      <c r="O40" s="72">
        <f t="shared" si="6"/>
        <v>152.57</v>
      </c>
      <c r="P40" s="274">
        <f t="shared" si="7"/>
        <v>152.57</v>
      </c>
      <c r="Q40" s="291">
        <f t="shared" si="8"/>
        <v>1.04</v>
      </c>
      <c r="R40" s="121">
        <f t="shared" si="0"/>
        <v>0.05</v>
      </c>
      <c r="S40" s="194">
        <f t="shared" si="1"/>
        <v>0.95</v>
      </c>
    </row>
    <row r="41" spans="2:21" s="121" customFormat="1" ht="16.5" customHeight="1" x14ac:dyDescent="0.2">
      <c r="B41" s="120"/>
      <c r="C41" s="73" t="s">
        <v>171</v>
      </c>
      <c r="D41" s="73" t="s">
        <v>209</v>
      </c>
      <c r="E41" s="74" t="s">
        <v>249</v>
      </c>
      <c r="F41" s="75" t="s">
        <v>250</v>
      </c>
      <c r="G41" s="76" t="s">
        <v>99</v>
      </c>
      <c r="H41" s="77">
        <v>1</v>
      </c>
      <c r="I41" s="78">
        <v>395.88</v>
      </c>
      <c r="J41" s="77">
        <v>395.9</v>
      </c>
      <c r="K41" s="68">
        <v>0</v>
      </c>
      <c r="L41" s="69">
        <f t="shared" si="3"/>
        <v>395.88</v>
      </c>
      <c r="M41" s="273">
        <f t="shared" si="4"/>
        <v>0</v>
      </c>
      <c r="N41" s="71">
        <f t="shared" si="5"/>
        <v>1</v>
      </c>
      <c r="O41" s="72">
        <f t="shared" si="6"/>
        <v>395.88</v>
      </c>
      <c r="P41" s="274">
        <f t="shared" si="7"/>
        <v>395.88</v>
      </c>
      <c r="Q41" s="291">
        <f t="shared" si="8"/>
        <v>1.04</v>
      </c>
      <c r="R41" s="121">
        <f t="shared" si="0"/>
        <v>0.05</v>
      </c>
      <c r="S41" s="194">
        <f t="shared" si="1"/>
        <v>0.95</v>
      </c>
    </row>
    <row r="42" spans="2:21" s="121" customFormat="1" ht="16.5" customHeight="1" x14ac:dyDescent="0.2">
      <c r="B42" s="120"/>
      <c r="C42" s="56" t="s">
        <v>174</v>
      </c>
      <c r="D42" s="56" t="s">
        <v>96</v>
      </c>
      <c r="E42" s="57" t="s">
        <v>252</v>
      </c>
      <c r="F42" s="58" t="s">
        <v>253</v>
      </c>
      <c r="G42" s="59" t="s">
        <v>150</v>
      </c>
      <c r="H42" s="60">
        <v>3.89</v>
      </c>
      <c r="I42" s="61">
        <v>3239.16</v>
      </c>
      <c r="J42" s="60">
        <v>12600.3</v>
      </c>
      <c r="K42" s="68">
        <f t="shared" ref="K42:K43" si="9">28.6/29*Q42-Q42</f>
        <v>-5.600000000000005E-2</v>
      </c>
      <c r="L42" s="69">
        <f t="shared" si="3"/>
        <v>3239.16</v>
      </c>
      <c r="M42" s="273">
        <f t="shared" si="4"/>
        <v>-181.39296000000016</v>
      </c>
      <c r="N42" s="71">
        <f t="shared" si="5"/>
        <v>3.8340000000000001</v>
      </c>
      <c r="O42" s="72">
        <f t="shared" si="6"/>
        <v>3239.16</v>
      </c>
      <c r="P42" s="274">
        <f t="shared" si="7"/>
        <v>12418.93944</v>
      </c>
      <c r="Q42" s="291">
        <f t="shared" si="8"/>
        <v>4.0599999999999996</v>
      </c>
      <c r="R42" s="121">
        <f t="shared" si="0"/>
        <v>0.19450000000000001</v>
      </c>
      <c r="S42" s="194">
        <f t="shared" si="1"/>
        <v>3.6955</v>
      </c>
      <c r="T42" s="186" t="s">
        <v>1117</v>
      </c>
      <c r="U42" s="121" t="s">
        <v>1132</v>
      </c>
    </row>
    <row r="43" spans="2:21" s="121" customFormat="1" ht="16.5" customHeight="1" x14ac:dyDescent="0.2">
      <c r="B43" s="120"/>
      <c r="C43" s="56" t="s">
        <v>177</v>
      </c>
      <c r="D43" s="56" t="s">
        <v>96</v>
      </c>
      <c r="E43" s="57" t="s">
        <v>255</v>
      </c>
      <c r="F43" s="58" t="s">
        <v>256</v>
      </c>
      <c r="G43" s="59" t="s">
        <v>150</v>
      </c>
      <c r="H43" s="60">
        <v>0.31</v>
      </c>
      <c r="I43" s="61">
        <v>3188.13</v>
      </c>
      <c r="J43" s="60">
        <v>988.3</v>
      </c>
      <c r="K43" s="68">
        <f t="shared" si="9"/>
        <v>-4.4137931034482492E-3</v>
      </c>
      <c r="L43" s="69">
        <f t="shared" si="3"/>
        <v>3188.13</v>
      </c>
      <c r="M43" s="273">
        <f t="shared" si="4"/>
        <v>-14.071746206896467</v>
      </c>
      <c r="N43" s="71">
        <f t="shared" si="5"/>
        <v>0.30558620689655175</v>
      </c>
      <c r="O43" s="72">
        <f t="shared" si="6"/>
        <v>3188.13</v>
      </c>
      <c r="P43" s="274">
        <f t="shared" si="7"/>
        <v>974.24855379310361</v>
      </c>
      <c r="Q43" s="291">
        <f t="shared" si="8"/>
        <v>0.32</v>
      </c>
      <c r="R43" s="121">
        <f t="shared" si="0"/>
        <v>1.55E-2</v>
      </c>
      <c r="S43" s="194">
        <f t="shared" si="1"/>
        <v>0.29449999999999998</v>
      </c>
      <c r="T43" s="186" t="s">
        <v>1118</v>
      </c>
      <c r="U43" s="121" t="s">
        <v>1133</v>
      </c>
    </row>
    <row r="44" spans="2:21" s="170" customFormat="1" ht="22.9" customHeight="1" x14ac:dyDescent="0.2">
      <c r="B44" s="165"/>
      <c r="C44" s="252"/>
      <c r="D44" s="253" t="s">
        <v>4</v>
      </c>
      <c r="E44" s="254" t="s">
        <v>105</v>
      </c>
      <c r="F44" s="254" t="s">
        <v>257</v>
      </c>
      <c r="G44" s="252"/>
      <c r="H44" s="252"/>
      <c r="I44" s="255"/>
      <c r="J44" s="256">
        <f>+SUBTOTAL(9,J45:J49)</f>
        <v>53367.1</v>
      </c>
      <c r="K44" s="261"/>
      <c r="L44" s="262"/>
      <c r="M44" s="279">
        <f>SUM(M45:M49)</f>
        <v>0</v>
      </c>
      <c r="N44" s="280"/>
      <c r="O44" s="262"/>
      <c r="P44" s="279">
        <f>SUM(P45:P49)</f>
        <v>53367.133999999998</v>
      </c>
      <c r="Q44" s="291">
        <f t="shared" si="8"/>
        <v>0</v>
      </c>
      <c r="R44" s="121">
        <f t="shared" si="0"/>
        <v>0</v>
      </c>
      <c r="S44" s="194">
        <f t="shared" si="1"/>
        <v>0</v>
      </c>
    </row>
    <row r="45" spans="2:21" s="121" customFormat="1" ht="16.5" customHeight="1" x14ac:dyDescent="0.2">
      <c r="B45" s="120"/>
      <c r="C45" s="56" t="s">
        <v>180</v>
      </c>
      <c r="D45" s="56" t="s">
        <v>96</v>
      </c>
      <c r="E45" s="57" t="s">
        <v>262</v>
      </c>
      <c r="F45" s="58" t="s">
        <v>263</v>
      </c>
      <c r="G45" s="59" t="s">
        <v>108</v>
      </c>
      <c r="H45" s="60">
        <v>31.9</v>
      </c>
      <c r="I45" s="61">
        <v>302.54000000000002</v>
      </c>
      <c r="J45" s="60">
        <v>9651</v>
      </c>
      <c r="K45" s="68">
        <v>0</v>
      </c>
      <c r="L45" s="69">
        <f t="shared" si="3"/>
        <v>302.54000000000002</v>
      </c>
      <c r="M45" s="273">
        <f t="shared" si="4"/>
        <v>0</v>
      </c>
      <c r="N45" s="71">
        <f t="shared" si="5"/>
        <v>31.9</v>
      </c>
      <c r="O45" s="72">
        <f t="shared" si="6"/>
        <v>302.54000000000002</v>
      </c>
      <c r="P45" s="274">
        <f t="shared" si="7"/>
        <v>9651.0259999999998</v>
      </c>
      <c r="Q45" s="291">
        <f t="shared" si="8"/>
        <v>33.299999999999997</v>
      </c>
      <c r="R45" s="121">
        <f t="shared" si="0"/>
        <v>1.595</v>
      </c>
      <c r="S45" s="194">
        <f t="shared" si="1"/>
        <v>30.305</v>
      </c>
    </row>
    <row r="46" spans="2:21" s="121" customFormat="1" ht="16.5" customHeight="1" x14ac:dyDescent="0.2">
      <c r="B46" s="120"/>
      <c r="C46" s="56" t="s">
        <v>183</v>
      </c>
      <c r="D46" s="56" t="s">
        <v>96</v>
      </c>
      <c r="E46" s="57" t="s">
        <v>268</v>
      </c>
      <c r="F46" s="58" t="s">
        <v>269</v>
      </c>
      <c r="G46" s="59" t="s">
        <v>108</v>
      </c>
      <c r="H46" s="60">
        <v>31.9</v>
      </c>
      <c r="I46" s="61">
        <v>14.18</v>
      </c>
      <c r="J46" s="60">
        <v>452.3</v>
      </c>
      <c r="K46" s="68">
        <v>0</v>
      </c>
      <c r="L46" s="69">
        <f t="shared" si="3"/>
        <v>14.18</v>
      </c>
      <c r="M46" s="273">
        <f t="shared" si="4"/>
        <v>0</v>
      </c>
      <c r="N46" s="71">
        <f t="shared" si="5"/>
        <v>31.9</v>
      </c>
      <c r="O46" s="72">
        <f t="shared" si="6"/>
        <v>14.18</v>
      </c>
      <c r="P46" s="274">
        <f t="shared" si="7"/>
        <v>452.34199999999998</v>
      </c>
      <c r="Q46" s="291">
        <f t="shared" si="8"/>
        <v>33.299999999999997</v>
      </c>
      <c r="R46" s="121">
        <f t="shared" si="0"/>
        <v>1.595</v>
      </c>
      <c r="S46" s="194">
        <f t="shared" si="1"/>
        <v>30.305</v>
      </c>
    </row>
    <row r="47" spans="2:21" s="121" customFormat="1" ht="16.5" customHeight="1" x14ac:dyDescent="0.2">
      <c r="B47" s="120"/>
      <c r="C47" s="56" t="s">
        <v>186</v>
      </c>
      <c r="D47" s="56" t="s">
        <v>96</v>
      </c>
      <c r="E47" s="57" t="s">
        <v>271</v>
      </c>
      <c r="F47" s="58" t="s">
        <v>272</v>
      </c>
      <c r="G47" s="59" t="s">
        <v>108</v>
      </c>
      <c r="H47" s="60">
        <v>60.9</v>
      </c>
      <c r="I47" s="61">
        <v>20.62</v>
      </c>
      <c r="J47" s="60">
        <v>1255.8</v>
      </c>
      <c r="K47" s="68">
        <v>0</v>
      </c>
      <c r="L47" s="69">
        <f t="shared" si="3"/>
        <v>20.62</v>
      </c>
      <c r="M47" s="273">
        <f t="shared" si="4"/>
        <v>0</v>
      </c>
      <c r="N47" s="71">
        <f t="shared" si="5"/>
        <v>60.9</v>
      </c>
      <c r="O47" s="72">
        <f t="shared" si="6"/>
        <v>20.62</v>
      </c>
      <c r="P47" s="274">
        <f t="shared" si="7"/>
        <v>1255.758</v>
      </c>
      <c r="Q47" s="291">
        <f t="shared" si="8"/>
        <v>63.57</v>
      </c>
      <c r="R47" s="121">
        <f t="shared" ref="R47:R75" si="10">H47*0.05</f>
        <v>3.0449999999999999</v>
      </c>
      <c r="S47" s="194">
        <f t="shared" ref="S47:S75" si="11">H47-R47</f>
        <v>57.854999999999997</v>
      </c>
    </row>
    <row r="48" spans="2:21" s="121" customFormat="1" ht="16.5" customHeight="1" x14ac:dyDescent="0.2">
      <c r="B48" s="120"/>
      <c r="C48" s="56" t="s">
        <v>189</v>
      </c>
      <c r="D48" s="56" t="s">
        <v>96</v>
      </c>
      <c r="E48" s="57" t="s">
        <v>274</v>
      </c>
      <c r="F48" s="58" t="s">
        <v>275</v>
      </c>
      <c r="G48" s="59" t="s">
        <v>108</v>
      </c>
      <c r="H48" s="60">
        <v>60.9</v>
      </c>
      <c r="I48" s="61">
        <v>396.71</v>
      </c>
      <c r="J48" s="60">
        <v>24159.599999999999</v>
      </c>
      <c r="K48" s="68">
        <v>0</v>
      </c>
      <c r="L48" s="69">
        <f t="shared" si="3"/>
        <v>396.71</v>
      </c>
      <c r="M48" s="273">
        <f t="shared" si="4"/>
        <v>0</v>
      </c>
      <c r="N48" s="71">
        <f t="shared" si="5"/>
        <v>60.9</v>
      </c>
      <c r="O48" s="72">
        <f t="shared" si="6"/>
        <v>396.71</v>
      </c>
      <c r="P48" s="274">
        <f t="shared" si="7"/>
        <v>24159.638999999999</v>
      </c>
      <c r="Q48" s="291">
        <f t="shared" si="8"/>
        <v>63.57</v>
      </c>
      <c r="R48" s="121">
        <f t="shared" si="10"/>
        <v>3.0449999999999999</v>
      </c>
      <c r="S48" s="194">
        <f t="shared" si="11"/>
        <v>57.854999999999997</v>
      </c>
    </row>
    <row r="49" spans="2:19" s="121" customFormat="1" ht="16.5" customHeight="1" x14ac:dyDescent="0.2">
      <c r="B49" s="120"/>
      <c r="C49" s="56" t="s">
        <v>192</v>
      </c>
      <c r="D49" s="56" t="s">
        <v>96</v>
      </c>
      <c r="E49" s="57" t="s">
        <v>277</v>
      </c>
      <c r="F49" s="58" t="s">
        <v>278</v>
      </c>
      <c r="G49" s="59" t="s">
        <v>108</v>
      </c>
      <c r="H49" s="60">
        <v>31.9</v>
      </c>
      <c r="I49" s="61">
        <v>559.51</v>
      </c>
      <c r="J49" s="60">
        <v>17848.400000000001</v>
      </c>
      <c r="K49" s="68">
        <v>0</v>
      </c>
      <c r="L49" s="69">
        <f t="shared" si="3"/>
        <v>559.51</v>
      </c>
      <c r="M49" s="273">
        <f t="shared" si="4"/>
        <v>0</v>
      </c>
      <c r="N49" s="71">
        <f t="shared" si="5"/>
        <v>31.9</v>
      </c>
      <c r="O49" s="72">
        <f t="shared" si="6"/>
        <v>559.51</v>
      </c>
      <c r="P49" s="274">
        <f t="shared" si="7"/>
        <v>17848.368999999999</v>
      </c>
      <c r="Q49" s="291">
        <f t="shared" si="8"/>
        <v>33.299999999999997</v>
      </c>
      <c r="R49" s="121">
        <f t="shared" si="10"/>
        <v>1.595</v>
      </c>
      <c r="S49" s="194">
        <f t="shared" si="11"/>
        <v>30.305</v>
      </c>
    </row>
    <row r="50" spans="2:19" s="170" customFormat="1" ht="22.9" customHeight="1" x14ac:dyDescent="0.2">
      <c r="B50" s="165"/>
      <c r="C50" s="252"/>
      <c r="D50" s="253" t="s">
        <v>4</v>
      </c>
      <c r="E50" s="254" t="s">
        <v>115</v>
      </c>
      <c r="F50" s="254" t="s">
        <v>288</v>
      </c>
      <c r="G50" s="252"/>
      <c r="H50" s="252"/>
      <c r="I50" s="255"/>
      <c r="J50" s="256">
        <f>+SUBTOTAL(9,J51:J66)</f>
        <v>77884</v>
      </c>
      <c r="K50" s="261"/>
      <c r="L50" s="262"/>
      <c r="M50" s="279">
        <f>SUM(M51:M66)</f>
        <v>-671.07999999999754</v>
      </c>
      <c r="N50" s="280"/>
      <c r="O50" s="262"/>
      <c r="P50" s="279">
        <f>SUM(P51:P66)</f>
        <v>77212.891400000022</v>
      </c>
      <c r="Q50" s="291">
        <f t="shared" si="8"/>
        <v>0</v>
      </c>
      <c r="R50" s="121">
        <f t="shared" si="10"/>
        <v>0</v>
      </c>
      <c r="S50" s="194">
        <f t="shared" si="11"/>
        <v>0</v>
      </c>
    </row>
    <row r="51" spans="2:19" s="121" customFormat="1" ht="16.5" customHeight="1" x14ac:dyDescent="0.2">
      <c r="B51" s="120"/>
      <c r="C51" s="56" t="s">
        <v>195</v>
      </c>
      <c r="D51" s="56" t="s">
        <v>96</v>
      </c>
      <c r="E51" s="57" t="s">
        <v>296</v>
      </c>
      <c r="F51" s="58" t="s">
        <v>297</v>
      </c>
      <c r="G51" s="59" t="s">
        <v>133</v>
      </c>
      <c r="H51" s="60">
        <v>27.78</v>
      </c>
      <c r="I51" s="61">
        <v>552.39</v>
      </c>
      <c r="J51" s="60">
        <v>15345.4</v>
      </c>
      <c r="K51" s="68">
        <f t="shared" ref="K51:K52" si="12">28.6/29*Q51-Q51</f>
        <v>-0.39999999999999858</v>
      </c>
      <c r="L51" s="69">
        <f t="shared" si="3"/>
        <v>552.39</v>
      </c>
      <c r="M51" s="273">
        <f t="shared" si="4"/>
        <v>-220.95599999999922</v>
      </c>
      <c r="N51" s="71">
        <f t="shared" si="5"/>
        <v>27.380000000000003</v>
      </c>
      <c r="O51" s="72">
        <f t="shared" si="6"/>
        <v>552.39</v>
      </c>
      <c r="P51" s="274">
        <f t="shared" si="7"/>
        <v>15124.438200000001</v>
      </c>
      <c r="Q51" s="291">
        <f t="shared" si="8"/>
        <v>29</v>
      </c>
      <c r="R51" s="121">
        <f t="shared" si="10"/>
        <v>1.3890000000000002</v>
      </c>
      <c r="S51" s="194">
        <f t="shared" si="11"/>
        <v>26.391000000000002</v>
      </c>
    </row>
    <row r="52" spans="2:19" s="121" customFormat="1" ht="16.5" customHeight="1" x14ac:dyDescent="0.2">
      <c r="B52" s="120"/>
      <c r="C52" s="73" t="s">
        <v>198</v>
      </c>
      <c r="D52" s="73" t="s">
        <v>209</v>
      </c>
      <c r="E52" s="74" t="s">
        <v>299</v>
      </c>
      <c r="F52" s="75" t="s">
        <v>300</v>
      </c>
      <c r="G52" s="76" t="s">
        <v>133</v>
      </c>
      <c r="H52" s="77">
        <v>27.78</v>
      </c>
      <c r="I52" s="78">
        <v>1060.07</v>
      </c>
      <c r="J52" s="77">
        <v>29448.7</v>
      </c>
      <c r="K52" s="68">
        <f t="shared" si="12"/>
        <v>-0.39999999999999858</v>
      </c>
      <c r="L52" s="69">
        <f t="shared" si="3"/>
        <v>1060.07</v>
      </c>
      <c r="M52" s="273">
        <f t="shared" si="4"/>
        <v>-424.02799999999849</v>
      </c>
      <c r="N52" s="71">
        <f t="shared" si="5"/>
        <v>27.380000000000003</v>
      </c>
      <c r="O52" s="72">
        <f t="shared" si="6"/>
        <v>1060.07</v>
      </c>
      <c r="P52" s="274">
        <f t="shared" si="7"/>
        <v>29024.7166</v>
      </c>
      <c r="Q52" s="291">
        <f t="shared" si="8"/>
        <v>29</v>
      </c>
      <c r="R52" s="121">
        <f t="shared" si="10"/>
        <v>1.3890000000000002</v>
      </c>
      <c r="S52" s="194">
        <f t="shared" si="11"/>
        <v>26.391000000000002</v>
      </c>
    </row>
    <row r="53" spans="2:19" s="121" customFormat="1" ht="16.5" customHeight="1" x14ac:dyDescent="0.2">
      <c r="B53" s="120"/>
      <c r="C53" s="73" t="s">
        <v>202</v>
      </c>
      <c r="D53" s="73" t="s">
        <v>209</v>
      </c>
      <c r="E53" s="74" t="s">
        <v>302</v>
      </c>
      <c r="F53" s="75" t="s">
        <v>303</v>
      </c>
      <c r="G53" s="76" t="s">
        <v>99</v>
      </c>
      <c r="H53" s="77">
        <v>1</v>
      </c>
      <c r="I53" s="78">
        <v>739.15</v>
      </c>
      <c r="J53" s="77">
        <v>739.2</v>
      </c>
      <c r="K53" s="68">
        <v>0</v>
      </c>
      <c r="L53" s="69">
        <f t="shared" si="3"/>
        <v>739.15</v>
      </c>
      <c r="M53" s="273">
        <f t="shared" si="4"/>
        <v>0</v>
      </c>
      <c r="N53" s="71">
        <f t="shared" si="5"/>
        <v>1</v>
      </c>
      <c r="O53" s="72">
        <f t="shared" si="6"/>
        <v>739.15</v>
      </c>
      <c r="P53" s="274">
        <f t="shared" si="7"/>
        <v>739.15</v>
      </c>
      <c r="Q53" s="291">
        <f t="shared" si="8"/>
        <v>1.04</v>
      </c>
      <c r="R53" s="121">
        <f t="shared" si="10"/>
        <v>0.05</v>
      </c>
      <c r="S53" s="194">
        <f t="shared" si="11"/>
        <v>0.95</v>
      </c>
    </row>
    <row r="54" spans="2:19" s="121" customFormat="1" ht="16.5" customHeight="1" x14ac:dyDescent="0.2">
      <c r="B54" s="120"/>
      <c r="C54" s="56" t="s">
        <v>205</v>
      </c>
      <c r="D54" s="56" t="s">
        <v>96</v>
      </c>
      <c r="E54" s="57" t="s">
        <v>329</v>
      </c>
      <c r="F54" s="58" t="s">
        <v>330</v>
      </c>
      <c r="G54" s="59" t="s">
        <v>99</v>
      </c>
      <c r="H54" s="60">
        <v>1</v>
      </c>
      <c r="I54" s="61">
        <v>219.64</v>
      </c>
      <c r="J54" s="60">
        <v>219.6</v>
      </c>
      <c r="K54" s="68">
        <v>0</v>
      </c>
      <c r="L54" s="69">
        <f t="shared" si="3"/>
        <v>219.64</v>
      </c>
      <c r="M54" s="273">
        <f t="shared" si="4"/>
        <v>0</v>
      </c>
      <c r="N54" s="71">
        <f t="shared" si="5"/>
        <v>1</v>
      </c>
      <c r="O54" s="72">
        <f t="shared" si="6"/>
        <v>219.64</v>
      </c>
      <c r="P54" s="274">
        <f t="shared" si="7"/>
        <v>219.64</v>
      </c>
      <c r="Q54" s="291">
        <f t="shared" si="8"/>
        <v>1.04</v>
      </c>
      <c r="R54" s="121">
        <f t="shared" si="10"/>
        <v>0.05</v>
      </c>
      <c r="S54" s="194">
        <f t="shared" si="11"/>
        <v>0.95</v>
      </c>
    </row>
    <row r="55" spans="2:19" s="121" customFormat="1" ht="16.5" customHeight="1" x14ac:dyDescent="0.2">
      <c r="B55" s="120"/>
      <c r="C55" s="73" t="s">
        <v>208</v>
      </c>
      <c r="D55" s="73" t="s">
        <v>209</v>
      </c>
      <c r="E55" s="74" t="s">
        <v>335</v>
      </c>
      <c r="F55" s="75" t="s">
        <v>336</v>
      </c>
      <c r="G55" s="76" t="s">
        <v>99</v>
      </c>
      <c r="H55" s="77">
        <v>1.02</v>
      </c>
      <c r="I55" s="78">
        <v>1129.77</v>
      </c>
      <c r="J55" s="77">
        <v>1152.4000000000001</v>
      </c>
      <c r="K55" s="68">
        <v>0</v>
      </c>
      <c r="L55" s="69">
        <f t="shared" si="3"/>
        <v>1129.77</v>
      </c>
      <c r="M55" s="273">
        <f t="shared" si="4"/>
        <v>0</v>
      </c>
      <c r="N55" s="71">
        <f t="shared" si="5"/>
        <v>1.02</v>
      </c>
      <c r="O55" s="72">
        <f t="shared" si="6"/>
        <v>1129.77</v>
      </c>
      <c r="P55" s="274">
        <f t="shared" si="7"/>
        <v>1152.3653999999999</v>
      </c>
      <c r="Q55" s="291">
        <f t="shared" si="8"/>
        <v>1.06</v>
      </c>
      <c r="R55" s="121">
        <f t="shared" si="10"/>
        <v>5.1000000000000004E-2</v>
      </c>
      <c r="S55" s="194">
        <f t="shared" si="11"/>
        <v>0.96899999999999997</v>
      </c>
    </row>
    <row r="56" spans="2:19" s="121" customFormat="1" ht="33.75" customHeight="1" x14ac:dyDescent="0.2">
      <c r="B56" s="120"/>
      <c r="C56" s="56" t="s">
        <v>212</v>
      </c>
      <c r="D56" s="56" t="s">
        <v>96</v>
      </c>
      <c r="E56" s="57" t="s">
        <v>347</v>
      </c>
      <c r="F56" s="58" t="s">
        <v>348</v>
      </c>
      <c r="G56" s="59" t="s">
        <v>133</v>
      </c>
      <c r="H56" s="60">
        <v>27.78</v>
      </c>
      <c r="I56" s="61">
        <v>56.03</v>
      </c>
      <c r="J56" s="60">
        <v>1556.5</v>
      </c>
      <c r="K56" s="68">
        <f t="shared" ref="K56" si="13">28.6/29*Q56-Q56</f>
        <v>-0.39999999999999858</v>
      </c>
      <c r="L56" s="69">
        <f t="shared" si="3"/>
        <v>56.03</v>
      </c>
      <c r="M56" s="273">
        <f t="shared" si="4"/>
        <v>-22.411999999999921</v>
      </c>
      <c r="N56" s="71">
        <f t="shared" si="5"/>
        <v>27.380000000000003</v>
      </c>
      <c r="O56" s="72">
        <f t="shared" si="6"/>
        <v>56.03</v>
      </c>
      <c r="P56" s="274">
        <f t="shared" si="7"/>
        <v>1534.1014000000002</v>
      </c>
      <c r="Q56" s="291">
        <f t="shared" si="8"/>
        <v>29</v>
      </c>
      <c r="R56" s="121">
        <f t="shared" si="10"/>
        <v>1.3890000000000002</v>
      </c>
      <c r="S56" s="194">
        <f t="shared" si="11"/>
        <v>26.391000000000002</v>
      </c>
    </row>
    <row r="57" spans="2:19" s="121" customFormat="1" ht="16.5" customHeight="1" x14ac:dyDescent="0.2">
      <c r="B57" s="120"/>
      <c r="C57" s="56" t="s">
        <v>215</v>
      </c>
      <c r="D57" s="56" t="s">
        <v>96</v>
      </c>
      <c r="E57" s="57" t="s">
        <v>350</v>
      </c>
      <c r="F57" s="58" t="s">
        <v>351</v>
      </c>
      <c r="G57" s="59" t="s">
        <v>99</v>
      </c>
      <c r="H57" s="60">
        <v>1</v>
      </c>
      <c r="I57" s="61">
        <v>808.86</v>
      </c>
      <c r="J57" s="60">
        <v>808.9</v>
      </c>
      <c r="K57" s="68">
        <v>0</v>
      </c>
      <c r="L57" s="69">
        <f t="shared" si="3"/>
        <v>808.86</v>
      </c>
      <c r="M57" s="273">
        <f t="shared" si="4"/>
        <v>0</v>
      </c>
      <c r="N57" s="71">
        <f t="shared" si="5"/>
        <v>1</v>
      </c>
      <c r="O57" s="72">
        <f t="shared" si="6"/>
        <v>808.86</v>
      </c>
      <c r="P57" s="274">
        <f t="shared" si="7"/>
        <v>808.86</v>
      </c>
      <c r="Q57" s="291">
        <f t="shared" si="8"/>
        <v>1.04</v>
      </c>
      <c r="R57" s="121">
        <f t="shared" si="10"/>
        <v>0.05</v>
      </c>
      <c r="S57" s="194">
        <f t="shared" si="11"/>
        <v>0.95</v>
      </c>
    </row>
    <row r="58" spans="2:19" s="121" customFormat="1" ht="16.5" customHeight="1" x14ac:dyDescent="0.2">
      <c r="B58" s="120"/>
      <c r="C58" s="73" t="s">
        <v>219</v>
      </c>
      <c r="D58" s="73" t="s">
        <v>209</v>
      </c>
      <c r="E58" s="74" t="s">
        <v>359</v>
      </c>
      <c r="F58" s="75" t="s">
        <v>360</v>
      </c>
      <c r="G58" s="76" t="s">
        <v>99</v>
      </c>
      <c r="H58" s="77">
        <v>1</v>
      </c>
      <c r="I58" s="78">
        <v>775.98</v>
      </c>
      <c r="J58" s="77">
        <v>776</v>
      </c>
      <c r="K58" s="68">
        <v>0</v>
      </c>
      <c r="L58" s="69">
        <f t="shared" si="3"/>
        <v>775.98</v>
      </c>
      <c r="M58" s="273">
        <f t="shared" si="4"/>
        <v>0</v>
      </c>
      <c r="N58" s="71">
        <f t="shared" si="5"/>
        <v>1</v>
      </c>
      <c r="O58" s="72">
        <f t="shared" si="6"/>
        <v>775.98</v>
      </c>
      <c r="P58" s="274">
        <f t="shared" si="7"/>
        <v>775.98</v>
      </c>
      <c r="Q58" s="291">
        <f t="shared" si="8"/>
        <v>1.04</v>
      </c>
      <c r="R58" s="121">
        <f t="shared" si="10"/>
        <v>0.05</v>
      </c>
      <c r="S58" s="194">
        <f t="shared" si="11"/>
        <v>0.95</v>
      </c>
    </row>
    <row r="59" spans="2:19" s="121" customFormat="1" ht="16.5" customHeight="1" x14ac:dyDescent="0.2">
      <c r="B59" s="120"/>
      <c r="C59" s="73" t="s">
        <v>223</v>
      </c>
      <c r="D59" s="73" t="s">
        <v>209</v>
      </c>
      <c r="E59" s="74" t="s">
        <v>362</v>
      </c>
      <c r="F59" s="75" t="s">
        <v>363</v>
      </c>
      <c r="G59" s="76" t="s">
        <v>99</v>
      </c>
      <c r="H59" s="77">
        <v>2</v>
      </c>
      <c r="I59" s="78">
        <v>211.75</v>
      </c>
      <c r="J59" s="77">
        <v>423.5</v>
      </c>
      <c r="K59" s="68">
        <v>0</v>
      </c>
      <c r="L59" s="69">
        <f t="shared" si="3"/>
        <v>211.75</v>
      </c>
      <c r="M59" s="273">
        <f t="shared" si="4"/>
        <v>0</v>
      </c>
      <c r="N59" s="71">
        <f t="shared" si="5"/>
        <v>2</v>
      </c>
      <c r="O59" s="72">
        <f t="shared" si="6"/>
        <v>211.75</v>
      </c>
      <c r="P59" s="274">
        <f t="shared" si="7"/>
        <v>423.5</v>
      </c>
      <c r="Q59" s="291">
        <f t="shared" si="8"/>
        <v>2.09</v>
      </c>
      <c r="R59" s="121">
        <f t="shared" si="10"/>
        <v>0.1</v>
      </c>
      <c r="S59" s="194">
        <f t="shared" si="11"/>
        <v>1.9</v>
      </c>
    </row>
    <row r="60" spans="2:19" s="121" customFormat="1" ht="16.5" customHeight="1" x14ac:dyDescent="0.2">
      <c r="B60" s="120"/>
      <c r="C60" s="56" t="s">
        <v>226</v>
      </c>
      <c r="D60" s="56" t="s">
        <v>96</v>
      </c>
      <c r="E60" s="57" t="s">
        <v>365</v>
      </c>
      <c r="F60" s="58" t="s">
        <v>366</v>
      </c>
      <c r="G60" s="59" t="s">
        <v>99</v>
      </c>
      <c r="H60" s="60">
        <v>1</v>
      </c>
      <c r="I60" s="61">
        <v>808.86</v>
      </c>
      <c r="J60" s="60">
        <v>808.9</v>
      </c>
      <c r="K60" s="68">
        <v>0</v>
      </c>
      <c r="L60" s="69">
        <f t="shared" si="3"/>
        <v>808.86</v>
      </c>
      <c r="M60" s="273">
        <f t="shared" si="4"/>
        <v>0</v>
      </c>
      <c r="N60" s="71">
        <f t="shared" si="5"/>
        <v>1</v>
      </c>
      <c r="O60" s="72">
        <f t="shared" si="6"/>
        <v>808.86</v>
      </c>
      <c r="P60" s="274">
        <f t="shared" si="7"/>
        <v>808.86</v>
      </c>
      <c r="Q60" s="291">
        <f t="shared" si="8"/>
        <v>1.04</v>
      </c>
      <c r="R60" s="121">
        <f t="shared" si="10"/>
        <v>0.05</v>
      </c>
      <c r="S60" s="194">
        <f t="shared" si="11"/>
        <v>0.95</v>
      </c>
    </row>
    <row r="61" spans="2:19" s="121" customFormat="1" ht="16.5" customHeight="1" x14ac:dyDescent="0.2">
      <c r="B61" s="120"/>
      <c r="C61" s="73" t="s">
        <v>230</v>
      </c>
      <c r="D61" s="73" t="s">
        <v>209</v>
      </c>
      <c r="E61" s="74" t="s">
        <v>368</v>
      </c>
      <c r="F61" s="75" t="s">
        <v>369</v>
      </c>
      <c r="G61" s="76" t="s">
        <v>99</v>
      </c>
      <c r="H61" s="77">
        <v>1</v>
      </c>
      <c r="I61" s="78">
        <v>1530.92</v>
      </c>
      <c r="J61" s="77">
        <v>1530.9</v>
      </c>
      <c r="K61" s="68">
        <v>0</v>
      </c>
      <c r="L61" s="69">
        <f t="shared" si="3"/>
        <v>1530.92</v>
      </c>
      <c r="M61" s="273">
        <f t="shared" si="4"/>
        <v>0</v>
      </c>
      <c r="N61" s="71">
        <f t="shared" si="5"/>
        <v>1</v>
      </c>
      <c r="O61" s="72">
        <f t="shared" si="6"/>
        <v>1530.92</v>
      </c>
      <c r="P61" s="274">
        <f t="shared" si="7"/>
        <v>1530.92</v>
      </c>
      <c r="Q61" s="291">
        <f t="shared" si="8"/>
        <v>1.04</v>
      </c>
      <c r="R61" s="121">
        <f t="shared" si="10"/>
        <v>0.05</v>
      </c>
      <c r="S61" s="194">
        <f t="shared" si="11"/>
        <v>0.95</v>
      </c>
    </row>
    <row r="62" spans="2:19" s="121" customFormat="1" ht="16.5" customHeight="1" x14ac:dyDescent="0.2">
      <c r="B62" s="120"/>
      <c r="C62" s="56" t="s">
        <v>233</v>
      </c>
      <c r="D62" s="56" t="s">
        <v>96</v>
      </c>
      <c r="E62" s="57" t="s">
        <v>371</v>
      </c>
      <c r="F62" s="58" t="s">
        <v>372</v>
      </c>
      <c r="G62" s="59" t="s">
        <v>99</v>
      </c>
      <c r="H62" s="60">
        <v>1</v>
      </c>
      <c r="I62" s="61">
        <v>3234.12</v>
      </c>
      <c r="J62" s="60">
        <v>3234.1</v>
      </c>
      <c r="K62" s="68">
        <v>0</v>
      </c>
      <c r="L62" s="69">
        <f t="shared" si="3"/>
        <v>3234.12</v>
      </c>
      <c r="M62" s="273">
        <f t="shared" si="4"/>
        <v>0</v>
      </c>
      <c r="N62" s="71">
        <f t="shared" si="5"/>
        <v>1</v>
      </c>
      <c r="O62" s="72">
        <f t="shared" si="6"/>
        <v>3234.12</v>
      </c>
      <c r="P62" s="274">
        <f t="shared" si="7"/>
        <v>3234.12</v>
      </c>
      <c r="Q62" s="291">
        <f t="shared" si="8"/>
        <v>1.04</v>
      </c>
      <c r="R62" s="121">
        <f t="shared" si="10"/>
        <v>0.05</v>
      </c>
      <c r="S62" s="194">
        <f t="shared" si="11"/>
        <v>0.95</v>
      </c>
    </row>
    <row r="63" spans="2:19" s="121" customFormat="1" ht="16.5" customHeight="1" x14ac:dyDescent="0.2">
      <c r="B63" s="120"/>
      <c r="C63" s="73" t="s">
        <v>236</v>
      </c>
      <c r="D63" s="73" t="s">
        <v>209</v>
      </c>
      <c r="E63" s="74" t="s">
        <v>374</v>
      </c>
      <c r="F63" s="75" t="s">
        <v>375</v>
      </c>
      <c r="G63" s="76" t="s">
        <v>99</v>
      </c>
      <c r="H63" s="77">
        <v>1</v>
      </c>
      <c r="I63" s="78">
        <v>14588.41</v>
      </c>
      <c r="J63" s="77">
        <v>14588.4</v>
      </c>
      <c r="K63" s="68">
        <v>0</v>
      </c>
      <c r="L63" s="69">
        <f t="shared" si="3"/>
        <v>14588.41</v>
      </c>
      <c r="M63" s="273">
        <f t="shared" si="4"/>
        <v>0</v>
      </c>
      <c r="N63" s="71">
        <f t="shared" si="5"/>
        <v>1</v>
      </c>
      <c r="O63" s="72">
        <f t="shared" si="6"/>
        <v>14588.41</v>
      </c>
      <c r="P63" s="274">
        <f t="shared" si="7"/>
        <v>14588.41</v>
      </c>
      <c r="Q63" s="291">
        <f t="shared" si="8"/>
        <v>1.04</v>
      </c>
      <c r="R63" s="121">
        <f t="shared" si="10"/>
        <v>0.05</v>
      </c>
      <c r="S63" s="194">
        <f t="shared" si="11"/>
        <v>0.95</v>
      </c>
    </row>
    <row r="64" spans="2:19" s="121" customFormat="1" ht="16.5" customHeight="1" x14ac:dyDescent="0.2">
      <c r="B64" s="120"/>
      <c r="C64" s="56" t="s">
        <v>239</v>
      </c>
      <c r="D64" s="56" t="s">
        <v>96</v>
      </c>
      <c r="E64" s="57" t="s">
        <v>377</v>
      </c>
      <c r="F64" s="58" t="s">
        <v>378</v>
      </c>
      <c r="G64" s="59" t="s">
        <v>99</v>
      </c>
      <c r="H64" s="60">
        <v>1</v>
      </c>
      <c r="I64" s="61">
        <v>485.32</v>
      </c>
      <c r="J64" s="60">
        <v>485.3</v>
      </c>
      <c r="K64" s="68">
        <v>0</v>
      </c>
      <c r="L64" s="69">
        <f t="shared" si="3"/>
        <v>485.32</v>
      </c>
      <c r="M64" s="273">
        <f t="shared" si="4"/>
        <v>0</v>
      </c>
      <c r="N64" s="71">
        <f t="shared" si="5"/>
        <v>1</v>
      </c>
      <c r="O64" s="72">
        <f t="shared" si="6"/>
        <v>485.32</v>
      </c>
      <c r="P64" s="274">
        <f t="shared" si="7"/>
        <v>485.32</v>
      </c>
      <c r="Q64" s="291">
        <f t="shared" si="8"/>
        <v>1.04</v>
      </c>
      <c r="R64" s="121">
        <f t="shared" si="10"/>
        <v>0.05</v>
      </c>
      <c r="S64" s="194">
        <f t="shared" si="11"/>
        <v>0.95</v>
      </c>
    </row>
    <row r="65" spans="2:19" s="121" customFormat="1" ht="16.5" customHeight="1" x14ac:dyDescent="0.2">
      <c r="B65" s="120"/>
      <c r="C65" s="73" t="s">
        <v>242</v>
      </c>
      <c r="D65" s="73" t="s">
        <v>209</v>
      </c>
      <c r="E65" s="74" t="s">
        <v>380</v>
      </c>
      <c r="F65" s="75" t="s">
        <v>381</v>
      </c>
      <c r="G65" s="76" t="s">
        <v>99</v>
      </c>
      <c r="H65" s="77">
        <v>1</v>
      </c>
      <c r="I65" s="78">
        <v>6510.34</v>
      </c>
      <c r="J65" s="77">
        <v>6510.3</v>
      </c>
      <c r="K65" s="68">
        <v>0</v>
      </c>
      <c r="L65" s="69">
        <f t="shared" si="3"/>
        <v>6510.34</v>
      </c>
      <c r="M65" s="273">
        <f t="shared" si="4"/>
        <v>0</v>
      </c>
      <c r="N65" s="71">
        <f t="shared" si="5"/>
        <v>1</v>
      </c>
      <c r="O65" s="72">
        <f t="shared" si="6"/>
        <v>6510.34</v>
      </c>
      <c r="P65" s="274">
        <f t="shared" si="7"/>
        <v>6510.34</v>
      </c>
      <c r="Q65" s="291">
        <f t="shared" si="8"/>
        <v>1.04</v>
      </c>
      <c r="R65" s="121">
        <f t="shared" si="10"/>
        <v>0.05</v>
      </c>
      <c r="S65" s="194">
        <f t="shared" si="11"/>
        <v>0.95</v>
      </c>
    </row>
    <row r="66" spans="2:19" s="121" customFormat="1" ht="16.5" customHeight="1" x14ac:dyDescent="0.2">
      <c r="B66" s="120"/>
      <c r="C66" s="56" t="s">
        <v>245</v>
      </c>
      <c r="D66" s="56" t="s">
        <v>96</v>
      </c>
      <c r="E66" s="57" t="s">
        <v>383</v>
      </c>
      <c r="F66" s="58" t="s">
        <v>384</v>
      </c>
      <c r="G66" s="59" t="s">
        <v>133</v>
      </c>
      <c r="H66" s="60">
        <v>27.78</v>
      </c>
      <c r="I66" s="61">
        <v>9.2100000000000009</v>
      </c>
      <c r="J66" s="60">
        <v>255.9</v>
      </c>
      <c r="K66" s="68">
        <f t="shared" ref="K66" si="14">28.6/29*Q66-Q66</f>
        <v>-0.39999999999999858</v>
      </c>
      <c r="L66" s="69">
        <f t="shared" si="3"/>
        <v>9.2100000000000009</v>
      </c>
      <c r="M66" s="273">
        <f t="shared" si="4"/>
        <v>-3.6839999999999873</v>
      </c>
      <c r="N66" s="71">
        <f t="shared" si="5"/>
        <v>27.380000000000003</v>
      </c>
      <c r="O66" s="72">
        <f t="shared" si="6"/>
        <v>9.2100000000000009</v>
      </c>
      <c r="P66" s="274">
        <f t="shared" si="7"/>
        <v>252.16980000000004</v>
      </c>
      <c r="Q66" s="291">
        <f t="shared" si="8"/>
        <v>29</v>
      </c>
      <c r="R66" s="121">
        <f t="shared" si="10"/>
        <v>1.3890000000000002</v>
      </c>
      <c r="S66" s="194">
        <f t="shared" si="11"/>
        <v>26.391000000000002</v>
      </c>
    </row>
    <row r="67" spans="2:19" s="170" customFormat="1" ht="22.9" customHeight="1" x14ac:dyDescent="0.2">
      <c r="B67" s="165"/>
      <c r="C67" s="252"/>
      <c r="D67" s="253" t="s">
        <v>4</v>
      </c>
      <c r="E67" s="254" t="s">
        <v>118</v>
      </c>
      <c r="F67" s="254" t="s">
        <v>385</v>
      </c>
      <c r="G67" s="252"/>
      <c r="H67" s="252"/>
      <c r="I67" s="255"/>
      <c r="J67" s="256">
        <f>+SUBTOTAL(9,J68:J69)</f>
        <v>9279.4</v>
      </c>
      <c r="K67" s="261"/>
      <c r="L67" s="262"/>
      <c r="M67" s="279">
        <f>SUM(M68:M69)</f>
        <v>-133.61923448275741</v>
      </c>
      <c r="N67" s="280"/>
      <c r="O67" s="262"/>
      <c r="P67" s="279">
        <f>SUM(P68:P69)</f>
        <v>9145.8007655172441</v>
      </c>
      <c r="Q67" s="291">
        <f t="shared" si="8"/>
        <v>0</v>
      </c>
      <c r="R67" s="121">
        <f t="shared" si="10"/>
        <v>0</v>
      </c>
      <c r="S67" s="194">
        <f t="shared" si="11"/>
        <v>0</v>
      </c>
    </row>
    <row r="68" spans="2:19" s="121" customFormat="1" ht="16.5" customHeight="1" x14ac:dyDescent="0.2">
      <c r="B68" s="120"/>
      <c r="C68" s="56" t="s">
        <v>248</v>
      </c>
      <c r="D68" s="56" t="s">
        <v>96</v>
      </c>
      <c r="E68" s="57" t="s">
        <v>387</v>
      </c>
      <c r="F68" s="58" t="s">
        <v>388</v>
      </c>
      <c r="G68" s="59" t="s">
        <v>133</v>
      </c>
      <c r="H68" s="60">
        <v>58</v>
      </c>
      <c r="I68" s="61">
        <v>87.65</v>
      </c>
      <c r="J68" s="60">
        <v>5083.7</v>
      </c>
      <c r="K68" s="68">
        <f t="shared" ref="K68:K69" si="15">28.6/29*Q68-Q68</f>
        <v>-0.83517241379309581</v>
      </c>
      <c r="L68" s="69">
        <f t="shared" si="3"/>
        <v>87.65</v>
      </c>
      <c r="M68" s="273">
        <f t="shared" si="4"/>
        <v>-73.202862068964848</v>
      </c>
      <c r="N68" s="71">
        <f t="shared" si="5"/>
        <v>57.164827586206904</v>
      </c>
      <c r="O68" s="72">
        <f t="shared" si="6"/>
        <v>87.65</v>
      </c>
      <c r="P68" s="274">
        <f t="shared" si="7"/>
        <v>5010.4971379310355</v>
      </c>
      <c r="Q68" s="291">
        <f t="shared" si="8"/>
        <v>60.55</v>
      </c>
      <c r="R68" s="121">
        <f t="shared" si="10"/>
        <v>2.9000000000000004</v>
      </c>
      <c r="S68" s="194">
        <f t="shared" si="11"/>
        <v>55.1</v>
      </c>
    </row>
    <row r="69" spans="2:19" s="121" customFormat="1" ht="16.5" customHeight="1" x14ac:dyDescent="0.2">
      <c r="B69" s="120"/>
      <c r="C69" s="56" t="s">
        <v>251</v>
      </c>
      <c r="D69" s="56" t="s">
        <v>96</v>
      </c>
      <c r="E69" s="57" t="s">
        <v>390</v>
      </c>
      <c r="F69" s="58" t="s">
        <v>391</v>
      </c>
      <c r="G69" s="59" t="s">
        <v>133</v>
      </c>
      <c r="H69" s="60">
        <v>58</v>
      </c>
      <c r="I69" s="61">
        <v>72.34</v>
      </c>
      <c r="J69" s="60">
        <v>4195.7</v>
      </c>
      <c r="K69" s="68">
        <f t="shared" si="15"/>
        <v>-0.83517241379309581</v>
      </c>
      <c r="L69" s="69">
        <f t="shared" si="3"/>
        <v>72.34</v>
      </c>
      <c r="M69" s="273">
        <f t="shared" si="4"/>
        <v>-60.416372413792551</v>
      </c>
      <c r="N69" s="71">
        <f t="shared" si="5"/>
        <v>57.164827586206904</v>
      </c>
      <c r="O69" s="72">
        <f t="shared" si="6"/>
        <v>72.34</v>
      </c>
      <c r="P69" s="274">
        <f t="shared" si="7"/>
        <v>4135.3036275862078</v>
      </c>
      <c r="Q69" s="291">
        <f t="shared" si="8"/>
        <v>60.55</v>
      </c>
      <c r="R69" s="121">
        <f t="shared" si="10"/>
        <v>2.9000000000000004</v>
      </c>
      <c r="S69" s="194">
        <f t="shared" si="11"/>
        <v>55.1</v>
      </c>
    </row>
    <row r="70" spans="2:19" s="170" customFormat="1" ht="22.9" customHeight="1" x14ac:dyDescent="0.2">
      <c r="B70" s="165"/>
      <c r="C70" s="252"/>
      <c r="D70" s="253" t="s">
        <v>4</v>
      </c>
      <c r="E70" s="254" t="s">
        <v>398</v>
      </c>
      <c r="F70" s="254" t="s">
        <v>399</v>
      </c>
      <c r="G70" s="252"/>
      <c r="H70" s="252"/>
      <c r="I70" s="255"/>
      <c r="J70" s="256">
        <f>+SUBTOTAL(9,J71:J73)</f>
        <v>11804.699999999999</v>
      </c>
      <c r="K70" s="261"/>
      <c r="L70" s="262"/>
      <c r="M70" s="279">
        <f>SUM(M71:M73)</f>
        <v>-110.7115006896546</v>
      </c>
      <c r="N70" s="280"/>
      <c r="O70" s="262"/>
      <c r="P70" s="279">
        <f>SUM(P71:P73)</f>
        <v>11694.001899310344</v>
      </c>
      <c r="Q70" s="291">
        <f t="shared" si="8"/>
        <v>0</v>
      </c>
      <c r="R70" s="121">
        <f t="shared" si="10"/>
        <v>0</v>
      </c>
      <c r="S70" s="194">
        <f t="shared" si="11"/>
        <v>0</v>
      </c>
    </row>
    <row r="71" spans="2:19" s="121" customFormat="1" ht="16.5" customHeight="1" x14ac:dyDescent="0.2">
      <c r="B71" s="120"/>
      <c r="C71" s="56" t="s">
        <v>254</v>
      </c>
      <c r="D71" s="56" t="s">
        <v>96</v>
      </c>
      <c r="E71" s="57" t="s">
        <v>401</v>
      </c>
      <c r="F71" s="58" t="s">
        <v>402</v>
      </c>
      <c r="G71" s="59" t="s">
        <v>201</v>
      </c>
      <c r="H71" s="60">
        <v>30</v>
      </c>
      <c r="I71" s="61">
        <v>183.88</v>
      </c>
      <c r="J71" s="60">
        <v>5516.4</v>
      </c>
      <c r="K71" s="68">
        <f t="shared" ref="K71" si="16">28.6/29*Q71-Q71</f>
        <v>-0.43199999999999861</v>
      </c>
      <c r="L71" s="69">
        <f t="shared" si="3"/>
        <v>183.88</v>
      </c>
      <c r="M71" s="273">
        <f t="shared" si="4"/>
        <v>-79.436159999999745</v>
      </c>
      <c r="N71" s="71">
        <f t="shared" si="5"/>
        <v>29.568000000000001</v>
      </c>
      <c r="O71" s="72">
        <f t="shared" si="6"/>
        <v>183.88</v>
      </c>
      <c r="P71" s="274">
        <f t="shared" si="7"/>
        <v>5436.9638400000003</v>
      </c>
      <c r="Q71" s="291">
        <f t="shared" si="8"/>
        <v>31.32</v>
      </c>
      <c r="R71" s="121">
        <f t="shared" si="10"/>
        <v>1.5</v>
      </c>
      <c r="S71" s="194">
        <f t="shared" si="11"/>
        <v>28.5</v>
      </c>
    </row>
    <row r="72" spans="2:19" s="121" customFormat="1" ht="16.5" customHeight="1" x14ac:dyDescent="0.2">
      <c r="B72" s="120"/>
      <c r="C72" s="56" t="s">
        <v>258</v>
      </c>
      <c r="D72" s="56" t="s">
        <v>96</v>
      </c>
      <c r="E72" s="57" t="s">
        <v>407</v>
      </c>
      <c r="F72" s="58" t="s">
        <v>408</v>
      </c>
      <c r="G72" s="59" t="s">
        <v>201</v>
      </c>
      <c r="H72" s="60">
        <v>15.97</v>
      </c>
      <c r="I72" s="61">
        <v>257.77999999999997</v>
      </c>
      <c r="J72" s="60">
        <v>4116.7</v>
      </c>
      <c r="K72" s="68">
        <v>0</v>
      </c>
      <c r="L72" s="69">
        <f t="shared" si="3"/>
        <v>257.77999999999997</v>
      </c>
      <c r="M72" s="273">
        <f t="shared" si="4"/>
        <v>0</v>
      </c>
      <c r="N72" s="71">
        <f t="shared" si="5"/>
        <v>15.97</v>
      </c>
      <c r="O72" s="72">
        <f t="shared" si="6"/>
        <v>257.77999999999997</v>
      </c>
      <c r="P72" s="274">
        <f t="shared" si="7"/>
        <v>4116.7465999999995</v>
      </c>
      <c r="Q72" s="291">
        <f t="shared" si="8"/>
        <v>16.670000000000002</v>
      </c>
      <c r="R72" s="121">
        <f t="shared" si="10"/>
        <v>0.7985000000000001</v>
      </c>
      <c r="S72" s="194">
        <f t="shared" si="11"/>
        <v>15.1715</v>
      </c>
    </row>
    <row r="73" spans="2:19" s="121" customFormat="1" ht="16.5" customHeight="1" x14ac:dyDescent="0.2">
      <c r="B73" s="120"/>
      <c r="C73" s="56" t="s">
        <v>261</v>
      </c>
      <c r="D73" s="56" t="s">
        <v>96</v>
      </c>
      <c r="E73" s="57" t="s">
        <v>410</v>
      </c>
      <c r="F73" s="58" t="s">
        <v>411</v>
      </c>
      <c r="G73" s="59" t="s">
        <v>201</v>
      </c>
      <c r="H73" s="60">
        <v>14.04</v>
      </c>
      <c r="I73" s="61">
        <v>154.66999999999999</v>
      </c>
      <c r="J73" s="60">
        <v>2171.6</v>
      </c>
      <c r="K73" s="68">
        <f t="shared" ref="K73" si="17">28.6/29*Q73-Q73</f>
        <v>-0.20220689655172208</v>
      </c>
      <c r="L73" s="69">
        <f t="shared" si="3"/>
        <v>154.66999999999999</v>
      </c>
      <c r="M73" s="273">
        <f t="shared" si="4"/>
        <v>-31.27534068965485</v>
      </c>
      <c r="N73" s="71">
        <f t="shared" si="5"/>
        <v>13.837793103448277</v>
      </c>
      <c r="O73" s="72">
        <f t="shared" si="6"/>
        <v>154.66999999999999</v>
      </c>
      <c r="P73" s="274">
        <f t="shared" si="7"/>
        <v>2140.2914593103446</v>
      </c>
      <c r="Q73" s="291">
        <f t="shared" si="8"/>
        <v>14.66</v>
      </c>
      <c r="R73" s="121">
        <f t="shared" si="10"/>
        <v>0.70199999999999996</v>
      </c>
      <c r="S73" s="194">
        <f t="shared" si="11"/>
        <v>13.337999999999999</v>
      </c>
    </row>
    <row r="74" spans="2:19" s="170" customFormat="1" ht="22.9" customHeight="1" x14ac:dyDescent="0.2">
      <c r="B74" s="165"/>
      <c r="C74" s="252"/>
      <c r="D74" s="253" t="s">
        <v>4</v>
      </c>
      <c r="E74" s="254" t="s">
        <v>412</v>
      </c>
      <c r="F74" s="254" t="s">
        <v>413</v>
      </c>
      <c r="G74" s="252"/>
      <c r="H74" s="252"/>
      <c r="I74" s="255"/>
      <c r="J74" s="256">
        <f>+SUBTOTAL(9,J75)</f>
        <v>8993.4</v>
      </c>
      <c r="K74" s="261"/>
      <c r="L74" s="262"/>
      <c r="M74" s="279">
        <f>M75</f>
        <v>-129.4918758620685</v>
      </c>
      <c r="N74" s="280"/>
      <c r="O74" s="262"/>
      <c r="P74" s="279">
        <f>P75</f>
        <v>8863.9201241379305</v>
      </c>
      <c r="Q74" s="291">
        <f t="shared" si="8"/>
        <v>0</v>
      </c>
      <c r="R74" s="121">
        <f t="shared" si="10"/>
        <v>0</v>
      </c>
      <c r="S74" s="194">
        <f t="shared" si="11"/>
        <v>0</v>
      </c>
    </row>
    <row r="75" spans="2:19" s="121" customFormat="1" ht="16.5" customHeight="1" x14ac:dyDescent="0.2">
      <c r="B75" s="120"/>
      <c r="C75" s="56" t="s">
        <v>264</v>
      </c>
      <c r="D75" s="56" t="s">
        <v>96</v>
      </c>
      <c r="E75" s="57" t="s">
        <v>415</v>
      </c>
      <c r="F75" s="58" t="s">
        <v>416</v>
      </c>
      <c r="G75" s="59" t="s">
        <v>201</v>
      </c>
      <c r="H75" s="60">
        <v>78.599999999999994</v>
      </c>
      <c r="I75" s="61">
        <v>114.42</v>
      </c>
      <c r="J75" s="60">
        <v>8993.4</v>
      </c>
      <c r="K75" s="68">
        <f t="shared" ref="K75" si="18">28.6/29*Q75-Q75</f>
        <v>-1.1317241379310303</v>
      </c>
      <c r="L75" s="69">
        <f t="shared" si="3"/>
        <v>114.42</v>
      </c>
      <c r="M75" s="273">
        <f t="shared" si="4"/>
        <v>-129.4918758620685</v>
      </c>
      <c r="N75" s="71">
        <f t="shared" si="5"/>
        <v>77.468275862068964</v>
      </c>
      <c r="O75" s="72">
        <f t="shared" si="6"/>
        <v>114.42</v>
      </c>
      <c r="P75" s="274">
        <f t="shared" si="7"/>
        <v>8863.9201241379305</v>
      </c>
      <c r="Q75" s="291">
        <f t="shared" si="8"/>
        <v>82.05</v>
      </c>
      <c r="R75" s="121">
        <f t="shared" si="10"/>
        <v>3.9299999999999997</v>
      </c>
      <c r="S75" s="194">
        <f t="shared" si="11"/>
        <v>74.669999999999987</v>
      </c>
    </row>
    <row r="76" spans="2:19" s="121" customFormat="1" ht="6.95" customHeight="1" x14ac:dyDescent="0.2">
      <c r="B76" s="120"/>
      <c r="C76" s="120"/>
      <c r="D76" s="120"/>
      <c r="E76" s="120"/>
      <c r="F76" s="120"/>
      <c r="G76" s="120"/>
      <c r="H76" s="120"/>
      <c r="I76" s="153"/>
      <c r="J76" s="120"/>
    </row>
    <row r="77" spans="2:19" ht="18" customHeight="1" x14ac:dyDescent="0.2">
      <c r="D77" s="42"/>
      <c r="E77" s="43" t="s">
        <v>891</v>
      </c>
      <c r="F77" s="44"/>
      <c r="G77" s="44"/>
      <c r="H77" s="45"/>
      <c r="I77" s="44"/>
      <c r="J77" s="46">
        <f>ROUND(SUBTOTAL(9,J12:J75),2)</f>
        <v>287787.59999999998</v>
      </c>
      <c r="K77" s="49"/>
      <c r="L77" s="46"/>
      <c r="M77" s="281">
        <f>M74+M70+M67+M50+M44+M39+M36+M14</f>
        <v>-2857.691902068952</v>
      </c>
      <c r="N77" s="281"/>
      <c r="O77" s="281"/>
      <c r="P77" s="281">
        <f t="shared" ref="P77" si="19">P74+P70+P67+P50+P44+P39+P36+P14</f>
        <v>284929.66069793107</v>
      </c>
      <c r="Q77" s="281"/>
    </row>
    <row r="78" spans="2:19" ht="12.75" x14ac:dyDescent="0.2">
      <c r="H78" s="50"/>
      <c r="I78" s="8"/>
      <c r="J78" s="9"/>
    </row>
    <row r="79" spans="2:19" ht="14.25" x14ac:dyDescent="0.2">
      <c r="E79" s="6" t="s">
        <v>849</v>
      </c>
      <c r="F79" s="6"/>
      <c r="G79" s="320" t="s">
        <v>1224</v>
      </c>
      <c r="H79" s="50"/>
      <c r="I79" s="8"/>
      <c r="J79" s="6"/>
      <c r="K79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75" xr:uid="{00000000-0009-0000-0000-000010000000}"/>
  <mergeCells count="2">
    <mergeCell ref="K9:M9"/>
    <mergeCell ref="N9:P9"/>
  </mergeCells>
  <conditionalFormatting sqref="G79:I79 L79:P79">
    <cfRule type="cellIs" dxfId="459" priority="4" operator="lessThan">
      <formula>0</formula>
    </cfRule>
  </conditionalFormatting>
  <conditionalFormatting sqref="G79:I79 L79:M79">
    <cfRule type="cellIs" dxfId="458" priority="3" operator="lessThan">
      <formula>0</formula>
    </cfRule>
  </conditionalFormatting>
  <conditionalFormatting sqref="G79:I79">
    <cfRule type="cellIs" dxfId="457" priority="2" operator="lessThan">
      <formula>0</formula>
    </cfRule>
  </conditionalFormatting>
  <conditionalFormatting sqref="G79:I79">
    <cfRule type="cellIs" dxfId="456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2" fitToHeight="0" orientation="landscape" r:id="rId1"/>
  <headerFooter>
    <oddFooter>&amp;CStrana &amp;P z &amp;N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1:S87"/>
  <sheetViews>
    <sheetView showGridLines="0" view="pageBreakPreview" topLeftCell="A55" zoomScale="85" zoomScaleNormal="85" zoomScaleSheetLayoutView="85" workbookViewId="0">
      <selection activeCell="J78" sqref="J78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12.6640625" style="8" customWidth="1"/>
    <col min="12" max="12" width="15.6640625" style="8" bestFit="1" customWidth="1"/>
    <col min="13" max="13" width="21" style="8" bestFit="1" customWidth="1"/>
    <col min="14" max="14" width="12.6640625" style="8" customWidth="1"/>
    <col min="15" max="15" width="17.1640625" style="8" customWidth="1"/>
    <col min="16" max="16" width="19.1640625" style="8" customWidth="1"/>
    <col min="17" max="17" width="26.6640625" style="8" customWidth="1"/>
    <col min="18" max="38" width="12.6640625" style="8" customWidth="1"/>
    <col min="39" max="16384" width="9.33203125" style="8"/>
  </cols>
  <sheetData>
    <row r="1" spans="2:19" ht="18.95" customHeight="1" x14ac:dyDescent="0.2">
      <c r="F1" s="11"/>
      <c r="G1" s="89"/>
      <c r="H1" s="88"/>
      <c r="I1" s="8"/>
      <c r="J1" s="9"/>
    </row>
    <row r="2" spans="2:19" s="88" customFormat="1" ht="18" customHeight="1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19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19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19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19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19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19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B4 - Stoka B4</v>
      </c>
      <c r="M8" s="150"/>
      <c r="O8" s="151"/>
    </row>
    <row r="9" spans="2:19" s="15" customFormat="1" ht="20.100000000000001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</row>
    <row r="10" spans="2:19" s="15" customFormat="1" ht="24" customHeight="1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189" t="s">
        <v>926</v>
      </c>
    </row>
    <row r="11" spans="2:19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19" s="121" customFormat="1" ht="22.9" customHeight="1" x14ac:dyDescent="0.25">
      <c r="B12" s="120"/>
      <c r="C12" s="152" t="s">
        <v>484</v>
      </c>
      <c r="D12" s="120"/>
      <c r="E12" s="120"/>
      <c r="F12" s="120"/>
      <c r="G12" s="120"/>
      <c r="H12" s="120"/>
      <c r="I12" s="153"/>
      <c r="J12" s="154">
        <f>+SUBTOTAL(9,J13:J83)</f>
        <v>1852695.8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  <c r="S12" s="185"/>
    </row>
    <row r="13" spans="2:19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+SUBTOTAL(9,J14:J83)</f>
        <v>1852695.8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  <c r="S13" s="187"/>
    </row>
    <row r="14" spans="2:19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+SUBTOTAL(9,J15:J35)</f>
        <v>841582.29999999993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SUM(M15:M35)</f>
        <v>-2852.4841999999999</v>
      </c>
      <c r="N14" s="278" t="str">
        <f>IF(ISBLANK(H14),"",H14-K14)</f>
        <v/>
      </c>
      <c r="O14" s="272" t="str">
        <f>IF(ISBLANK(H14),"",J14-L14)</f>
        <v/>
      </c>
      <c r="P14" s="272">
        <f>SUM(P15:P35)</f>
        <v>838730.01269999985</v>
      </c>
      <c r="Q14" s="218" t="s">
        <v>1216</v>
      </c>
      <c r="S14" s="187"/>
    </row>
    <row r="15" spans="2:19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269.5</v>
      </c>
      <c r="I15" s="61">
        <v>40.770000000000003</v>
      </c>
      <c r="J15" s="60">
        <v>10987.5</v>
      </c>
      <c r="K15" s="68">
        <f>ROUND(244.2/245*Q15-Q15,2)</f>
        <v>-0.92</v>
      </c>
      <c r="L15" s="69">
        <f>I15</f>
        <v>40.770000000000003</v>
      </c>
      <c r="M15" s="273">
        <f>K15*L15</f>
        <v>-37.508400000000002</v>
      </c>
      <c r="N15" s="71">
        <f>H15+K15</f>
        <v>268.58</v>
      </c>
      <c r="O15" s="72">
        <f>I15</f>
        <v>40.770000000000003</v>
      </c>
      <c r="P15" s="274">
        <f>N15*O15</f>
        <v>10950.006600000001</v>
      </c>
      <c r="Q15" s="185">
        <f>ROUND(245/235.34*H15,2)</f>
        <v>280.56</v>
      </c>
      <c r="R15" s="194"/>
      <c r="S15" s="185"/>
    </row>
    <row r="16" spans="2:19" s="121" customFormat="1" ht="16.5" customHeight="1" x14ac:dyDescent="0.2">
      <c r="B16" s="120"/>
      <c r="C16" s="56" t="s">
        <v>13</v>
      </c>
      <c r="D16" s="56" t="s">
        <v>96</v>
      </c>
      <c r="E16" s="57" t="s">
        <v>119</v>
      </c>
      <c r="F16" s="58" t="s">
        <v>120</v>
      </c>
      <c r="G16" s="59" t="s">
        <v>108</v>
      </c>
      <c r="H16" s="60">
        <v>261.25</v>
      </c>
      <c r="I16" s="61">
        <v>53.92</v>
      </c>
      <c r="J16" s="60">
        <v>14086.6</v>
      </c>
      <c r="K16" s="68">
        <f t="shared" ref="K16:K38" si="0">ROUND(244.2/245*Q16-Q16,2)</f>
        <v>-0.89</v>
      </c>
      <c r="L16" s="69">
        <f t="shared" ref="L16:L79" si="1">I16</f>
        <v>53.92</v>
      </c>
      <c r="M16" s="273">
        <f t="shared" ref="M16:M79" si="2">K16*L16</f>
        <v>-47.988800000000005</v>
      </c>
      <c r="N16" s="71">
        <f t="shared" ref="N16:N79" si="3">H16+K16</f>
        <v>260.36</v>
      </c>
      <c r="O16" s="72">
        <f t="shared" ref="O16:O79" si="4">I16</f>
        <v>53.92</v>
      </c>
      <c r="P16" s="274">
        <f t="shared" ref="P16:P79" si="5">N16*O16</f>
        <v>14038.611200000001</v>
      </c>
      <c r="Q16" s="185">
        <f t="shared" ref="Q16:Q79" si="6">ROUND(245/235.34*H16,2)</f>
        <v>271.97000000000003</v>
      </c>
      <c r="R16" s="194"/>
      <c r="S16" s="185"/>
    </row>
    <row r="17" spans="2:19" s="121" customFormat="1" ht="16.5" customHeight="1" x14ac:dyDescent="0.2">
      <c r="B17" s="120"/>
      <c r="C17" s="56" t="s">
        <v>100</v>
      </c>
      <c r="D17" s="56" t="s">
        <v>96</v>
      </c>
      <c r="E17" s="57" t="s">
        <v>125</v>
      </c>
      <c r="F17" s="58" t="s">
        <v>126</v>
      </c>
      <c r="G17" s="59" t="s">
        <v>108</v>
      </c>
      <c r="H17" s="60">
        <v>15.75</v>
      </c>
      <c r="I17" s="61">
        <v>55.24</v>
      </c>
      <c r="J17" s="60">
        <v>870</v>
      </c>
      <c r="K17" s="68">
        <v>0</v>
      </c>
      <c r="L17" s="69">
        <f t="shared" si="1"/>
        <v>55.24</v>
      </c>
      <c r="M17" s="273">
        <f t="shared" si="2"/>
        <v>0</v>
      </c>
      <c r="N17" s="71">
        <f t="shared" si="3"/>
        <v>15.75</v>
      </c>
      <c r="O17" s="72">
        <f t="shared" si="4"/>
        <v>55.24</v>
      </c>
      <c r="P17" s="274">
        <f t="shared" si="5"/>
        <v>870.03000000000009</v>
      </c>
      <c r="Q17" s="185">
        <f t="shared" si="6"/>
        <v>16.399999999999999</v>
      </c>
      <c r="R17" s="194"/>
      <c r="S17" s="185"/>
    </row>
    <row r="18" spans="2:19" s="121" customFormat="1" ht="16.5" customHeight="1" x14ac:dyDescent="0.2">
      <c r="B18" s="120"/>
      <c r="C18" s="56" t="s">
        <v>105</v>
      </c>
      <c r="D18" s="56" t="s">
        <v>96</v>
      </c>
      <c r="E18" s="57" t="s">
        <v>128</v>
      </c>
      <c r="F18" s="58" t="s">
        <v>129</v>
      </c>
      <c r="G18" s="59" t="s">
        <v>108</v>
      </c>
      <c r="H18" s="60">
        <v>8.25</v>
      </c>
      <c r="I18" s="61">
        <v>151.25</v>
      </c>
      <c r="J18" s="60">
        <v>1247.8</v>
      </c>
      <c r="K18" s="68">
        <v>0</v>
      </c>
      <c r="L18" s="69">
        <f t="shared" si="1"/>
        <v>151.25</v>
      </c>
      <c r="M18" s="273">
        <f t="shared" si="2"/>
        <v>0</v>
      </c>
      <c r="N18" s="71">
        <f t="shared" si="3"/>
        <v>8.25</v>
      </c>
      <c r="O18" s="72">
        <f t="shared" si="4"/>
        <v>151.25</v>
      </c>
      <c r="P18" s="274">
        <f t="shared" si="5"/>
        <v>1247.8125</v>
      </c>
      <c r="Q18" s="185">
        <f t="shared" si="6"/>
        <v>8.59</v>
      </c>
      <c r="R18" s="194"/>
      <c r="S18" s="185"/>
    </row>
    <row r="19" spans="2:19" s="121" customFormat="1" ht="16.5" customHeight="1" x14ac:dyDescent="0.2">
      <c r="B19" s="120"/>
      <c r="C19" s="56" t="s">
        <v>109</v>
      </c>
      <c r="D19" s="56" t="s">
        <v>96</v>
      </c>
      <c r="E19" s="57" t="s">
        <v>142</v>
      </c>
      <c r="F19" s="58" t="s">
        <v>143</v>
      </c>
      <c r="G19" s="59" t="s">
        <v>133</v>
      </c>
      <c r="H19" s="60">
        <v>4.4000000000000004</v>
      </c>
      <c r="I19" s="61">
        <v>170.98</v>
      </c>
      <c r="J19" s="60">
        <v>752.3</v>
      </c>
      <c r="K19" s="68">
        <f t="shared" si="0"/>
        <v>-0.01</v>
      </c>
      <c r="L19" s="69">
        <f t="shared" si="1"/>
        <v>170.98</v>
      </c>
      <c r="M19" s="273">
        <f t="shared" si="2"/>
        <v>-1.7098</v>
      </c>
      <c r="N19" s="71">
        <f t="shared" si="3"/>
        <v>4.3900000000000006</v>
      </c>
      <c r="O19" s="72">
        <f t="shared" si="4"/>
        <v>170.98</v>
      </c>
      <c r="P19" s="274">
        <f t="shared" si="5"/>
        <v>750.60220000000004</v>
      </c>
      <c r="Q19" s="185">
        <f t="shared" si="6"/>
        <v>4.58</v>
      </c>
      <c r="R19" s="194"/>
      <c r="S19" s="185"/>
    </row>
    <row r="20" spans="2:19" s="121" customFormat="1" ht="16.5" customHeight="1" x14ac:dyDescent="0.2">
      <c r="B20" s="120"/>
      <c r="C20" s="56" t="s">
        <v>112</v>
      </c>
      <c r="D20" s="56" t="s">
        <v>96</v>
      </c>
      <c r="E20" s="57" t="s">
        <v>145</v>
      </c>
      <c r="F20" s="58" t="s">
        <v>146</v>
      </c>
      <c r="G20" s="59" t="s">
        <v>133</v>
      </c>
      <c r="H20" s="60">
        <v>6.6</v>
      </c>
      <c r="I20" s="61">
        <v>147.30000000000001</v>
      </c>
      <c r="J20" s="60">
        <v>972.2</v>
      </c>
      <c r="K20" s="68">
        <f t="shared" si="0"/>
        <v>-0.02</v>
      </c>
      <c r="L20" s="69">
        <f t="shared" si="1"/>
        <v>147.30000000000001</v>
      </c>
      <c r="M20" s="273">
        <f t="shared" si="2"/>
        <v>-2.9460000000000002</v>
      </c>
      <c r="N20" s="71">
        <f t="shared" si="3"/>
        <v>6.58</v>
      </c>
      <c r="O20" s="72">
        <f t="shared" si="4"/>
        <v>147.30000000000001</v>
      </c>
      <c r="P20" s="274">
        <f t="shared" si="5"/>
        <v>969.23400000000004</v>
      </c>
      <c r="Q20" s="185">
        <f t="shared" si="6"/>
        <v>6.87</v>
      </c>
      <c r="R20" s="194"/>
      <c r="S20" s="185"/>
    </row>
    <row r="21" spans="2:19" s="121" customFormat="1" ht="16.5" customHeight="1" x14ac:dyDescent="0.2">
      <c r="B21" s="120"/>
      <c r="C21" s="56" t="s">
        <v>115</v>
      </c>
      <c r="D21" s="56" t="s">
        <v>96</v>
      </c>
      <c r="E21" s="57" t="s">
        <v>155</v>
      </c>
      <c r="F21" s="58" t="s">
        <v>156</v>
      </c>
      <c r="G21" s="59" t="s">
        <v>150</v>
      </c>
      <c r="H21" s="60">
        <v>21.57</v>
      </c>
      <c r="I21" s="61">
        <v>257.77999999999997</v>
      </c>
      <c r="J21" s="60">
        <v>5560.3</v>
      </c>
      <c r="K21" s="68">
        <f t="shared" si="0"/>
        <v>-7.0000000000000007E-2</v>
      </c>
      <c r="L21" s="69">
        <f t="shared" si="1"/>
        <v>257.77999999999997</v>
      </c>
      <c r="M21" s="273">
        <f t="shared" si="2"/>
        <v>-18.044599999999999</v>
      </c>
      <c r="N21" s="71">
        <f t="shared" si="3"/>
        <v>21.5</v>
      </c>
      <c r="O21" s="72">
        <f t="shared" si="4"/>
        <v>257.77999999999997</v>
      </c>
      <c r="P21" s="274">
        <f t="shared" si="5"/>
        <v>5542.2699999999995</v>
      </c>
      <c r="Q21" s="185">
        <f t="shared" si="6"/>
        <v>22.46</v>
      </c>
      <c r="R21" s="194"/>
      <c r="S21" s="185"/>
    </row>
    <row r="22" spans="2:19" s="121" customFormat="1" ht="12" x14ac:dyDescent="0.2">
      <c r="B22" s="120"/>
      <c r="C22" s="56" t="s">
        <v>118</v>
      </c>
      <c r="D22" s="56" t="s">
        <v>96</v>
      </c>
      <c r="E22" s="57" t="s">
        <v>157</v>
      </c>
      <c r="F22" s="58" t="s">
        <v>158</v>
      </c>
      <c r="G22" s="59" t="s">
        <v>150</v>
      </c>
      <c r="H22" s="60">
        <v>396.43</v>
      </c>
      <c r="I22" s="61">
        <v>257.77999999999997</v>
      </c>
      <c r="J22" s="60">
        <v>102191.7</v>
      </c>
      <c r="K22" s="68">
        <f t="shared" si="0"/>
        <v>-1.35</v>
      </c>
      <c r="L22" s="69">
        <f t="shared" si="1"/>
        <v>257.77999999999997</v>
      </c>
      <c r="M22" s="273">
        <f t="shared" si="2"/>
        <v>-348.00299999999999</v>
      </c>
      <c r="N22" s="71">
        <f t="shared" si="3"/>
        <v>395.08</v>
      </c>
      <c r="O22" s="72">
        <f t="shared" si="4"/>
        <v>257.77999999999997</v>
      </c>
      <c r="P22" s="274">
        <f t="shared" si="5"/>
        <v>101843.72239999998</v>
      </c>
      <c r="Q22" s="185">
        <f t="shared" si="6"/>
        <v>412.7</v>
      </c>
      <c r="R22" s="194"/>
      <c r="S22" s="188"/>
    </row>
    <row r="23" spans="2:19" s="121" customFormat="1" ht="16.5" customHeight="1" x14ac:dyDescent="0.2">
      <c r="B23" s="120"/>
      <c r="C23" s="56" t="s">
        <v>121</v>
      </c>
      <c r="D23" s="56" t="s">
        <v>96</v>
      </c>
      <c r="E23" s="57" t="s">
        <v>160</v>
      </c>
      <c r="F23" s="58" t="s">
        <v>161</v>
      </c>
      <c r="G23" s="59" t="s">
        <v>150</v>
      </c>
      <c r="H23" s="60">
        <v>118.93</v>
      </c>
      <c r="I23" s="61">
        <v>13.15</v>
      </c>
      <c r="J23" s="60">
        <v>1563.9</v>
      </c>
      <c r="K23" s="68">
        <f t="shared" si="0"/>
        <v>-0.4</v>
      </c>
      <c r="L23" s="69">
        <f t="shared" si="1"/>
        <v>13.15</v>
      </c>
      <c r="M23" s="273">
        <f t="shared" si="2"/>
        <v>-5.2600000000000007</v>
      </c>
      <c r="N23" s="71">
        <f t="shared" si="3"/>
        <v>118.53</v>
      </c>
      <c r="O23" s="72">
        <f t="shared" si="4"/>
        <v>13.15</v>
      </c>
      <c r="P23" s="274">
        <f t="shared" si="5"/>
        <v>1558.6695</v>
      </c>
      <c r="Q23" s="185">
        <f t="shared" si="6"/>
        <v>123.81</v>
      </c>
      <c r="R23" s="194"/>
      <c r="S23" s="185"/>
    </row>
    <row r="24" spans="2:19" s="121" customFormat="1" ht="16.5" customHeight="1" x14ac:dyDescent="0.2">
      <c r="B24" s="120"/>
      <c r="C24" s="56" t="s">
        <v>124</v>
      </c>
      <c r="D24" s="56" t="s">
        <v>96</v>
      </c>
      <c r="E24" s="57" t="s">
        <v>163</v>
      </c>
      <c r="F24" s="58" t="s">
        <v>164</v>
      </c>
      <c r="G24" s="59" t="s">
        <v>150</v>
      </c>
      <c r="H24" s="60">
        <v>196.14</v>
      </c>
      <c r="I24" s="61">
        <v>315.64999999999998</v>
      </c>
      <c r="J24" s="60">
        <v>61911.6</v>
      </c>
      <c r="K24" s="68">
        <f t="shared" si="0"/>
        <v>-0.67</v>
      </c>
      <c r="L24" s="69">
        <f t="shared" si="1"/>
        <v>315.64999999999998</v>
      </c>
      <c r="M24" s="273">
        <f t="shared" si="2"/>
        <v>-211.4855</v>
      </c>
      <c r="N24" s="71">
        <f t="shared" si="3"/>
        <v>195.47</v>
      </c>
      <c r="O24" s="72">
        <f t="shared" si="4"/>
        <v>315.64999999999998</v>
      </c>
      <c r="P24" s="274">
        <f t="shared" si="5"/>
        <v>61700.105499999998</v>
      </c>
      <c r="Q24" s="185">
        <f t="shared" si="6"/>
        <v>204.19</v>
      </c>
      <c r="R24" s="194"/>
      <c r="S24" s="185"/>
    </row>
    <row r="25" spans="2:19" s="121" customFormat="1" ht="16.5" customHeight="1" x14ac:dyDescent="0.2">
      <c r="B25" s="120"/>
      <c r="C25" s="56" t="s">
        <v>127</v>
      </c>
      <c r="D25" s="56" t="s">
        <v>96</v>
      </c>
      <c r="E25" s="57" t="s">
        <v>166</v>
      </c>
      <c r="F25" s="58" t="s">
        <v>167</v>
      </c>
      <c r="G25" s="59" t="s">
        <v>150</v>
      </c>
      <c r="H25" s="60">
        <v>58.84</v>
      </c>
      <c r="I25" s="61">
        <v>15.78</v>
      </c>
      <c r="J25" s="60">
        <v>928.5</v>
      </c>
      <c r="K25" s="68">
        <f t="shared" si="0"/>
        <v>-0.2</v>
      </c>
      <c r="L25" s="69">
        <f t="shared" si="1"/>
        <v>15.78</v>
      </c>
      <c r="M25" s="273">
        <f t="shared" si="2"/>
        <v>-3.1560000000000001</v>
      </c>
      <c r="N25" s="71">
        <f t="shared" si="3"/>
        <v>58.64</v>
      </c>
      <c r="O25" s="72">
        <f t="shared" si="4"/>
        <v>15.78</v>
      </c>
      <c r="P25" s="274">
        <f t="shared" si="5"/>
        <v>925.33920000000001</v>
      </c>
      <c r="Q25" s="185">
        <f t="shared" si="6"/>
        <v>61.26</v>
      </c>
      <c r="R25" s="194"/>
      <c r="S25" s="185"/>
    </row>
    <row r="26" spans="2:19" s="121" customFormat="1" ht="16.5" customHeight="1" x14ac:dyDescent="0.2">
      <c r="B26" s="120"/>
      <c r="C26" s="56" t="s">
        <v>130</v>
      </c>
      <c r="D26" s="56" t="s">
        <v>96</v>
      </c>
      <c r="E26" s="57" t="s">
        <v>175</v>
      </c>
      <c r="F26" s="58" t="s">
        <v>176</v>
      </c>
      <c r="G26" s="59" t="s">
        <v>108</v>
      </c>
      <c r="H26" s="60">
        <v>1143.1600000000001</v>
      </c>
      <c r="I26" s="61">
        <v>99.96</v>
      </c>
      <c r="J26" s="60">
        <v>114270.3</v>
      </c>
      <c r="K26" s="68">
        <f t="shared" si="0"/>
        <v>-3.89</v>
      </c>
      <c r="L26" s="69">
        <f t="shared" si="1"/>
        <v>99.96</v>
      </c>
      <c r="M26" s="273">
        <f t="shared" si="2"/>
        <v>-388.84440000000001</v>
      </c>
      <c r="N26" s="71">
        <f t="shared" si="3"/>
        <v>1139.27</v>
      </c>
      <c r="O26" s="72">
        <f t="shared" si="4"/>
        <v>99.96</v>
      </c>
      <c r="P26" s="274">
        <f t="shared" si="5"/>
        <v>113881.42919999998</v>
      </c>
      <c r="Q26" s="185">
        <f t="shared" si="6"/>
        <v>1190.08</v>
      </c>
      <c r="R26" s="194"/>
      <c r="S26" s="185"/>
    </row>
    <row r="27" spans="2:19" s="121" customFormat="1" ht="16.5" customHeight="1" x14ac:dyDescent="0.2">
      <c r="B27" s="120"/>
      <c r="C27" s="56" t="s">
        <v>134</v>
      </c>
      <c r="D27" s="56" t="s">
        <v>96</v>
      </c>
      <c r="E27" s="57" t="s">
        <v>181</v>
      </c>
      <c r="F27" s="58" t="s">
        <v>182</v>
      </c>
      <c r="G27" s="59" t="s">
        <v>108</v>
      </c>
      <c r="H27" s="60">
        <v>1143.1600000000001</v>
      </c>
      <c r="I27" s="61">
        <v>149.94</v>
      </c>
      <c r="J27" s="60">
        <v>171405.4</v>
      </c>
      <c r="K27" s="68">
        <f t="shared" si="0"/>
        <v>-3.89</v>
      </c>
      <c r="L27" s="69">
        <f t="shared" si="1"/>
        <v>149.94</v>
      </c>
      <c r="M27" s="273">
        <f t="shared" si="2"/>
        <v>-583.26660000000004</v>
      </c>
      <c r="N27" s="71">
        <f t="shared" si="3"/>
        <v>1139.27</v>
      </c>
      <c r="O27" s="72">
        <f t="shared" si="4"/>
        <v>149.94</v>
      </c>
      <c r="P27" s="274">
        <f t="shared" si="5"/>
        <v>170822.14379999999</v>
      </c>
      <c r="Q27" s="185">
        <f t="shared" si="6"/>
        <v>1190.08</v>
      </c>
      <c r="R27" s="194"/>
      <c r="S27" s="185"/>
    </row>
    <row r="28" spans="2:19" s="121" customFormat="1" ht="16.5" customHeight="1" x14ac:dyDescent="0.2">
      <c r="B28" s="120"/>
      <c r="C28" s="56" t="s">
        <v>2</v>
      </c>
      <c r="D28" s="56" t="s">
        <v>96</v>
      </c>
      <c r="E28" s="57" t="s">
        <v>187</v>
      </c>
      <c r="F28" s="58" t="s">
        <v>188</v>
      </c>
      <c r="G28" s="59" t="s">
        <v>150</v>
      </c>
      <c r="H28" s="60">
        <v>976.37</v>
      </c>
      <c r="I28" s="61">
        <v>97.81</v>
      </c>
      <c r="J28" s="60">
        <v>95498.7</v>
      </c>
      <c r="K28" s="68">
        <f t="shared" si="0"/>
        <v>-3.32</v>
      </c>
      <c r="L28" s="69">
        <f t="shared" si="1"/>
        <v>97.81</v>
      </c>
      <c r="M28" s="273">
        <f t="shared" si="2"/>
        <v>-324.72919999999999</v>
      </c>
      <c r="N28" s="71">
        <f t="shared" si="3"/>
        <v>973.05</v>
      </c>
      <c r="O28" s="72">
        <f t="shared" si="4"/>
        <v>97.81</v>
      </c>
      <c r="P28" s="274">
        <f t="shared" si="5"/>
        <v>95174.020499999999</v>
      </c>
      <c r="Q28" s="185">
        <f t="shared" si="6"/>
        <v>1016.45</v>
      </c>
      <c r="R28" s="194"/>
      <c r="S28" s="185"/>
    </row>
    <row r="29" spans="2:19" s="121" customFormat="1" ht="16.5" customHeight="1" x14ac:dyDescent="0.2">
      <c r="B29" s="120"/>
      <c r="C29" s="56" t="s">
        <v>141</v>
      </c>
      <c r="D29" s="56" t="s">
        <v>96</v>
      </c>
      <c r="E29" s="57" t="s">
        <v>190</v>
      </c>
      <c r="F29" s="58" t="s">
        <v>191</v>
      </c>
      <c r="G29" s="59" t="s">
        <v>150</v>
      </c>
      <c r="H29" s="60">
        <v>207.34</v>
      </c>
      <c r="I29" s="61">
        <v>247.39</v>
      </c>
      <c r="J29" s="60">
        <v>51293.8</v>
      </c>
      <c r="K29" s="68">
        <f t="shared" si="0"/>
        <v>-0.7</v>
      </c>
      <c r="L29" s="69">
        <f t="shared" si="1"/>
        <v>247.39</v>
      </c>
      <c r="M29" s="273">
        <f t="shared" si="2"/>
        <v>-173.17299999999997</v>
      </c>
      <c r="N29" s="71">
        <f t="shared" si="3"/>
        <v>206.64000000000001</v>
      </c>
      <c r="O29" s="72">
        <f t="shared" si="4"/>
        <v>247.39</v>
      </c>
      <c r="P29" s="274">
        <f t="shared" si="5"/>
        <v>51120.669600000001</v>
      </c>
      <c r="Q29" s="185">
        <f t="shared" si="6"/>
        <v>215.85</v>
      </c>
      <c r="R29" s="194"/>
      <c r="S29" s="185"/>
    </row>
    <row r="30" spans="2:19" s="121" customFormat="1" ht="16.5" customHeight="1" x14ac:dyDescent="0.2">
      <c r="B30" s="120"/>
      <c r="C30" s="56" t="s">
        <v>144</v>
      </c>
      <c r="D30" s="56" t="s">
        <v>96</v>
      </c>
      <c r="E30" s="57" t="s">
        <v>193</v>
      </c>
      <c r="F30" s="58" t="s">
        <v>194</v>
      </c>
      <c r="G30" s="59" t="s">
        <v>150</v>
      </c>
      <c r="H30" s="60">
        <v>207.34</v>
      </c>
      <c r="I30" s="61">
        <v>44.72</v>
      </c>
      <c r="J30" s="60">
        <v>9272.2000000000007</v>
      </c>
      <c r="K30" s="68">
        <f t="shared" si="0"/>
        <v>-0.7</v>
      </c>
      <c r="L30" s="69">
        <f t="shared" si="1"/>
        <v>44.72</v>
      </c>
      <c r="M30" s="273">
        <f t="shared" si="2"/>
        <v>-31.303999999999998</v>
      </c>
      <c r="N30" s="71">
        <f t="shared" si="3"/>
        <v>206.64000000000001</v>
      </c>
      <c r="O30" s="72">
        <f t="shared" si="4"/>
        <v>44.72</v>
      </c>
      <c r="P30" s="274">
        <f t="shared" si="5"/>
        <v>9240.9408000000003</v>
      </c>
      <c r="Q30" s="185">
        <f t="shared" si="6"/>
        <v>215.85</v>
      </c>
      <c r="R30" s="194"/>
      <c r="S30" s="185"/>
    </row>
    <row r="31" spans="2:19" s="121" customFormat="1" ht="16.5" customHeight="1" x14ac:dyDescent="0.2">
      <c r="B31" s="120"/>
      <c r="C31" s="56" t="s">
        <v>147</v>
      </c>
      <c r="D31" s="56" t="s">
        <v>96</v>
      </c>
      <c r="E31" s="57" t="s">
        <v>196</v>
      </c>
      <c r="F31" s="58" t="s">
        <v>197</v>
      </c>
      <c r="G31" s="59" t="s">
        <v>150</v>
      </c>
      <c r="H31" s="60">
        <v>207.34</v>
      </c>
      <c r="I31" s="61">
        <v>11.84</v>
      </c>
      <c r="J31" s="60">
        <v>2454.9</v>
      </c>
      <c r="K31" s="68">
        <f t="shared" si="0"/>
        <v>-0.7</v>
      </c>
      <c r="L31" s="69">
        <f t="shared" si="1"/>
        <v>11.84</v>
      </c>
      <c r="M31" s="273">
        <f t="shared" si="2"/>
        <v>-8.2880000000000003</v>
      </c>
      <c r="N31" s="71">
        <f t="shared" si="3"/>
        <v>206.64000000000001</v>
      </c>
      <c r="O31" s="72">
        <f t="shared" si="4"/>
        <v>11.84</v>
      </c>
      <c r="P31" s="274">
        <f t="shared" si="5"/>
        <v>2446.6176</v>
      </c>
      <c r="Q31" s="185">
        <f t="shared" si="6"/>
        <v>215.85</v>
      </c>
      <c r="R31" s="194"/>
      <c r="S31" s="185"/>
    </row>
    <row r="32" spans="2:19" s="121" customFormat="1" ht="16.5" customHeight="1" x14ac:dyDescent="0.2">
      <c r="B32" s="120"/>
      <c r="C32" s="56" t="s">
        <v>151</v>
      </c>
      <c r="D32" s="56" t="s">
        <v>96</v>
      </c>
      <c r="E32" s="57" t="s">
        <v>199</v>
      </c>
      <c r="F32" s="58" t="s">
        <v>200</v>
      </c>
      <c r="G32" s="59" t="s">
        <v>201</v>
      </c>
      <c r="H32" s="60">
        <v>414.68</v>
      </c>
      <c r="I32" s="61">
        <v>116</v>
      </c>
      <c r="J32" s="60">
        <v>48102.9</v>
      </c>
      <c r="K32" s="68">
        <f t="shared" si="0"/>
        <v>-1.41</v>
      </c>
      <c r="L32" s="69">
        <f t="shared" si="1"/>
        <v>116</v>
      </c>
      <c r="M32" s="273">
        <f t="shared" si="2"/>
        <v>-163.56</v>
      </c>
      <c r="N32" s="71">
        <f t="shared" si="3"/>
        <v>413.27</v>
      </c>
      <c r="O32" s="72">
        <f t="shared" si="4"/>
        <v>116</v>
      </c>
      <c r="P32" s="274">
        <f t="shared" si="5"/>
        <v>47939.32</v>
      </c>
      <c r="Q32" s="185">
        <f t="shared" si="6"/>
        <v>431.7</v>
      </c>
      <c r="R32" s="194"/>
      <c r="S32" s="185"/>
    </row>
    <row r="33" spans="2:19" s="121" customFormat="1" ht="16.5" customHeight="1" x14ac:dyDescent="0.2">
      <c r="B33" s="120"/>
      <c r="C33" s="56" t="s">
        <v>154</v>
      </c>
      <c r="D33" s="56" t="s">
        <v>96</v>
      </c>
      <c r="E33" s="57" t="s">
        <v>203</v>
      </c>
      <c r="F33" s="58" t="s">
        <v>204</v>
      </c>
      <c r="G33" s="59" t="s">
        <v>150</v>
      </c>
      <c r="H33" s="60">
        <v>383.8</v>
      </c>
      <c r="I33" s="61">
        <v>143.36000000000001</v>
      </c>
      <c r="J33" s="60">
        <v>55021.599999999999</v>
      </c>
      <c r="K33" s="68">
        <f t="shared" si="0"/>
        <v>-1.3</v>
      </c>
      <c r="L33" s="69">
        <f t="shared" si="1"/>
        <v>143.36000000000001</v>
      </c>
      <c r="M33" s="273">
        <f t="shared" si="2"/>
        <v>-186.36800000000002</v>
      </c>
      <c r="N33" s="71">
        <f t="shared" si="3"/>
        <v>382.5</v>
      </c>
      <c r="O33" s="72">
        <f t="shared" si="4"/>
        <v>143.36000000000001</v>
      </c>
      <c r="P33" s="274">
        <f t="shared" si="5"/>
        <v>54835.200000000004</v>
      </c>
      <c r="Q33" s="185">
        <f t="shared" si="6"/>
        <v>399.55</v>
      </c>
      <c r="R33" s="194"/>
      <c r="S33" s="185"/>
    </row>
    <row r="34" spans="2:19" s="121" customFormat="1" ht="16.5" customHeight="1" x14ac:dyDescent="0.2">
      <c r="B34" s="120"/>
      <c r="C34" s="56" t="s">
        <v>1</v>
      </c>
      <c r="D34" s="56" t="s">
        <v>96</v>
      </c>
      <c r="E34" s="57" t="s">
        <v>206</v>
      </c>
      <c r="F34" s="58" t="s">
        <v>207</v>
      </c>
      <c r="G34" s="59" t="s">
        <v>150</v>
      </c>
      <c r="H34" s="60">
        <v>140.41</v>
      </c>
      <c r="I34" s="61">
        <v>318.27999999999997</v>
      </c>
      <c r="J34" s="60">
        <v>44689.7</v>
      </c>
      <c r="K34" s="68">
        <f t="shared" si="0"/>
        <v>-0.48</v>
      </c>
      <c r="L34" s="69">
        <f t="shared" si="1"/>
        <v>318.27999999999997</v>
      </c>
      <c r="M34" s="273">
        <f t="shared" si="2"/>
        <v>-152.77439999999999</v>
      </c>
      <c r="N34" s="71">
        <f t="shared" si="3"/>
        <v>139.93</v>
      </c>
      <c r="O34" s="72">
        <f t="shared" si="4"/>
        <v>318.27999999999997</v>
      </c>
      <c r="P34" s="274">
        <f t="shared" si="5"/>
        <v>44536.920399999995</v>
      </c>
      <c r="Q34" s="185">
        <f t="shared" si="6"/>
        <v>146.16999999999999</v>
      </c>
      <c r="R34" s="194"/>
      <c r="S34" s="185"/>
    </row>
    <row r="35" spans="2:19" s="121" customFormat="1" ht="16.5" customHeight="1" x14ac:dyDescent="0.2">
      <c r="B35" s="120"/>
      <c r="C35" s="73" t="s">
        <v>159</v>
      </c>
      <c r="D35" s="73" t="s">
        <v>209</v>
      </c>
      <c r="E35" s="74" t="s">
        <v>210</v>
      </c>
      <c r="F35" s="75" t="s">
        <v>211</v>
      </c>
      <c r="G35" s="76" t="s">
        <v>201</v>
      </c>
      <c r="H35" s="77">
        <v>280.82</v>
      </c>
      <c r="I35" s="78">
        <v>172.71</v>
      </c>
      <c r="J35" s="77">
        <v>48500.4</v>
      </c>
      <c r="K35" s="68">
        <f t="shared" si="0"/>
        <v>-0.95</v>
      </c>
      <c r="L35" s="69">
        <f t="shared" si="1"/>
        <v>172.71</v>
      </c>
      <c r="M35" s="273">
        <f t="shared" si="2"/>
        <v>-164.0745</v>
      </c>
      <c r="N35" s="71">
        <f t="shared" si="3"/>
        <v>279.87</v>
      </c>
      <c r="O35" s="72">
        <f t="shared" si="4"/>
        <v>172.71</v>
      </c>
      <c r="P35" s="274">
        <f t="shared" si="5"/>
        <v>48336.347700000006</v>
      </c>
      <c r="Q35" s="185">
        <f t="shared" si="6"/>
        <v>292.35000000000002</v>
      </c>
      <c r="R35" s="194"/>
      <c r="S35" s="185"/>
    </row>
    <row r="36" spans="2:19" s="170" customFormat="1" ht="22.9" customHeight="1" x14ac:dyDescent="0.2">
      <c r="B36" s="165"/>
      <c r="C36" s="252"/>
      <c r="D36" s="253" t="s">
        <v>4</v>
      </c>
      <c r="E36" s="254" t="s">
        <v>13</v>
      </c>
      <c r="F36" s="254" t="s">
        <v>222</v>
      </c>
      <c r="G36" s="252"/>
      <c r="H36" s="252"/>
      <c r="I36" s="255"/>
      <c r="J36" s="256">
        <f>+SUBTOTAL(9,J37:J38)</f>
        <v>9286.5</v>
      </c>
      <c r="K36" s="261"/>
      <c r="L36" s="262"/>
      <c r="M36" s="279">
        <f>SUM(M37:M38)</f>
        <v>-31.568000000000001</v>
      </c>
      <c r="N36" s="280"/>
      <c r="O36" s="262"/>
      <c r="P36" s="279">
        <f>SUM(P37:P38)</f>
        <v>9254.9484000000011</v>
      </c>
      <c r="Q36" s="185">
        <f t="shared" si="6"/>
        <v>0</v>
      </c>
      <c r="S36" s="187"/>
    </row>
    <row r="37" spans="2:19" s="121" customFormat="1" ht="16.5" customHeight="1" x14ac:dyDescent="0.2">
      <c r="B37" s="120"/>
      <c r="C37" s="56" t="s">
        <v>162</v>
      </c>
      <c r="D37" s="56" t="s">
        <v>96</v>
      </c>
      <c r="E37" s="57" t="s">
        <v>224</v>
      </c>
      <c r="F37" s="58" t="s">
        <v>225</v>
      </c>
      <c r="G37" s="59" t="s">
        <v>133</v>
      </c>
      <c r="H37" s="60">
        <v>235.34</v>
      </c>
      <c r="I37" s="61">
        <v>32.880000000000003</v>
      </c>
      <c r="J37" s="60">
        <v>7738</v>
      </c>
      <c r="K37" s="68">
        <f t="shared" si="0"/>
        <v>-0.8</v>
      </c>
      <c r="L37" s="69">
        <f t="shared" si="1"/>
        <v>32.880000000000003</v>
      </c>
      <c r="M37" s="273">
        <f t="shared" si="2"/>
        <v>-26.304000000000002</v>
      </c>
      <c r="N37" s="71">
        <f t="shared" si="3"/>
        <v>234.54</v>
      </c>
      <c r="O37" s="72">
        <f t="shared" si="4"/>
        <v>32.880000000000003</v>
      </c>
      <c r="P37" s="274">
        <f t="shared" si="5"/>
        <v>7711.6752000000006</v>
      </c>
      <c r="Q37" s="185">
        <f t="shared" si="6"/>
        <v>245</v>
      </c>
      <c r="S37" s="185"/>
    </row>
    <row r="38" spans="2:19" s="121" customFormat="1" ht="16.5" customHeight="1" x14ac:dyDescent="0.2">
      <c r="B38" s="120"/>
      <c r="C38" s="56" t="s">
        <v>165</v>
      </c>
      <c r="D38" s="56" t="s">
        <v>96</v>
      </c>
      <c r="E38" s="57" t="s">
        <v>227</v>
      </c>
      <c r="F38" s="58" t="s">
        <v>228</v>
      </c>
      <c r="G38" s="59" t="s">
        <v>133</v>
      </c>
      <c r="H38" s="60">
        <v>235.34</v>
      </c>
      <c r="I38" s="61">
        <v>6.58</v>
      </c>
      <c r="J38" s="60">
        <v>1548.5</v>
      </c>
      <c r="K38" s="68">
        <f t="shared" si="0"/>
        <v>-0.8</v>
      </c>
      <c r="L38" s="69">
        <f t="shared" si="1"/>
        <v>6.58</v>
      </c>
      <c r="M38" s="273">
        <f t="shared" si="2"/>
        <v>-5.2640000000000002</v>
      </c>
      <c r="N38" s="71">
        <f t="shared" si="3"/>
        <v>234.54</v>
      </c>
      <c r="O38" s="72">
        <f t="shared" si="4"/>
        <v>6.58</v>
      </c>
      <c r="P38" s="274">
        <f t="shared" si="5"/>
        <v>1543.2731999999999</v>
      </c>
      <c r="Q38" s="185">
        <f t="shared" si="6"/>
        <v>245</v>
      </c>
      <c r="S38" s="185"/>
    </row>
    <row r="39" spans="2:19" s="170" customFormat="1" ht="22.9" customHeight="1" x14ac:dyDescent="0.2">
      <c r="B39" s="165"/>
      <c r="C39" s="252"/>
      <c r="D39" s="253" t="s">
        <v>4</v>
      </c>
      <c r="E39" s="254" t="s">
        <v>100</v>
      </c>
      <c r="F39" s="254" t="s">
        <v>229</v>
      </c>
      <c r="G39" s="252"/>
      <c r="H39" s="252"/>
      <c r="I39" s="255"/>
      <c r="J39" s="256">
        <f>+SUBTOTAL(9,J40:J46)</f>
        <v>111357.5</v>
      </c>
      <c r="K39" s="261"/>
      <c r="L39" s="262"/>
      <c r="M39" s="279">
        <f>SUM(M40:M46)</f>
        <v>-388.18889999999999</v>
      </c>
      <c r="N39" s="280"/>
      <c r="O39" s="262"/>
      <c r="P39" s="279">
        <f>SUM(P40:P46)</f>
        <v>110969.2709</v>
      </c>
      <c r="Q39" s="185">
        <f t="shared" si="6"/>
        <v>0</v>
      </c>
      <c r="S39" s="187"/>
    </row>
    <row r="40" spans="2:19" s="121" customFormat="1" ht="16.5" customHeight="1" x14ac:dyDescent="0.2">
      <c r="B40" s="120"/>
      <c r="C40" s="56" t="s">
        <v>168</v>
      </c>
      <c r="D40" s="56" t="s">
        <v>96</v>
      </c>
      <c r="E40" s="57" t="s">
        <v>231</v>
      </c>
      <c r="F40" s="58" t="s">
        <v>232</v>
      </c>
      <c r="G40" s="59" t="s">
        <v>99</v>
      </c>
      <c r="H40" s="60">
        <v>3</v>
      </c>
      <c r="I40" s="61">
        <v>122.32</v>
      </c>
      <c r="J40" s="60">
        <v>367</v>
      </c>
      <c r="K40" s="68">
        <v>0</v>
      </c>
      <c r="L40" s="69">
        <f t="shared" si="1"/>
        <v>122.32</v>
      </c>
      <c r="M40" s="273">
        <f t="shared" si="2"/>
        <v>0</v>
      </c>
      <c r="N40" s="71">
        <f t="shared" si="3"/>
        <v>3</v>
      </c>
      <c r="O40" s="72">
        <f t="shared" si="4"/>
        <v>122.32</v>
      </c>
      <c r="P40" s="274">
        <f t="shared" si="5"/>
        <v>366.96</v>
      </c>
      <c r="Q40" s="185">
        <f t="shared" si="6"/>
        <v>3.12</v>
      </c>
      <c r="S40" s="185"/>
    </row>
    <row r="41" spans="2:19" s="121" customFormat="1" ht="16.5" customHeight="1" x14ac:dyDescent="0.2">
      <c r="B41" s="120"/>
      <c r="C41" s="73" t="s">
        <v>171</v>
      </c>
      <c r="D41" s="73" t="s">
        <v>209</v>
      </c>
      <c r="E41" s="74" t="s">
        <v>234</v>
      </c>
      <c r="F41" s="75" t="s">
        <v>235</v>
      </c>
      <c r="G41" s="76" t="s">
        <v>99</v>
      </c>
      <c r="H41" s="77">
        <v>2</v>
      </c>
      <c r="I41" s="78">
        <v>345.9</v>
      </c>
      <c r="J41" s="77">
        <v>691.8</v>
      </c>
      <c r="K41" s="68">
        <v>0</v>
      </c>
      <c r="L41" s="69">
        <f t="shared" si="1"/>
        <v>345.9</v>
      </c>
      <c r="M41" s="273">
        <f t="shared" si="2"/>
        <v>0</v>
      </c>
      <c r="N41" s="71">
        <f t="shared" si="3"/>
        <v>2</v>
      </c>
      <c r="O41" s="72">
        <f t="shared" si="4"/>
        <v>345.9</v>
      </c>
      <c r="P41" s="274">
        <f t="shared" si="5"/>
        <v>691.8</v>
      </c>
      <c r="Q41" s="185">
        <f t="shared" si="6"/>
        <v>2.08</v>
      </c>
      <c r="S41" s="185"/>
    </row>
    <row r="42" spans="2:19" s="121" customFormat="1" ht="16.5" customHeight="1" x14ac:dyDescent="0.2">
      <c r="B42" s="120"/>
      <c r="C42" s="73" t="s">
        <v>174</v>
      </c>
      <c r="D42" s="73" t="s">
        <v>209</v>
      </c>
      <c r="E42" s="74" t="s">
        <v>240</v>
      </c>
      <c r="F42" s="75" t="s">
        <v>241</v>
      </c>
      <c r="G42" s="76" t="s">
        <v>99</v>
      </c>
      <c r="H42" s="77">
        <v>1</v>
      </c>
      <c r="I42" s="78">
        <v>270.94</v>
      </c>
      <c r="J42" s="77">
        <v>270.89999999999998</v>
      </c>
      <c r="K42" s="68">
        <v>0</v>
      </c>
      <c r="L42" s="69">
        <f t="shared" si="1"/>
        <v>270.94</v>
      </c>
      <c r="M42" s="273">
        <f t="shared" si="2"/>
        <v>0</v>
      </c>
      <c r="N42" s="71">
        <f t="shared" si="3"/>
        <v>1</v>
      </c>
      <c r="O42" s="72">
        <f t="shared" si="4"/>
        <v>270.94</v>
      </c>
      <c r="P42" s="274">
        <f t="shared" si="5"/>
        <v>270.94</v>
      </c>
      <c r="Q42" s="185">
        <f t="shared" si="6"/>
        <v>1.04</v>
      </c>
      <c r="S42" s="185"/>
    </row>
    <row r="43" spans="2:19" s="121" customFormat="1" ht="16.5" customHeight="1" x14ac:dyDescent="0.2">
      <c r="B43" s="120"/>
      <c r="C43" s="56" t="s">
        <v>177</v>
      </c>
      <c r="D43" s="56" t="s">
        <v>96</v>
      </c>
      <c r="E43" s="57" t="s">
        <v>246</v>
      </c>
      <c r="F43" s="58" t="s">
        <v>247</v>
      </c>
      <c r="G43" s="59" t="s">
        <v>99</v>
      </c>
      <c r="H43" s="60">
        <v>2</v>
      </c>
      <c r="I43" s="61">
        <v>152.57</v>
      </c>
      <c r="J43" s="60">
        <v>305.10000000000002</v>
      </c>
      <c r="K43" s="68">
        <v>0</v>
      </c>
      <c r="L43" s="69">
        <f t="shared" si="1"/>
        <v>152.57</v>
      </c>
      <c r="M43" s="273">
        <f t="shared" si="2"/>
        <v>0</v>
      </c>
      <c r="N43" s="71">
        <f t="shared" si="3"/>
        <v>2</v>
      </c>
      <c r="O43" s="72">
        <f t="shared" si="4"/>
        <v>152.57</v>
      </c>
      <c r="P43" s="274">
        <f t="shared" si="5"/>
        <v>305.14</v>
      </c>
      <c r="Q43" s="185">
        <f t="shared" si="6"/>
        <v>2.08</v>
      </c>
      <c r="S43" s="185"/>
    </row>
    <row r="44" spans="2:19" s="121" customFormat="1" ht="16.5" customHeight="1" x14ac:dyDescent="0.2">
      <c r="B44" s="120"/>
      <c r="C44" s="73" t="s">
        <v>180</v>
      </c>
      <c r="D44" s="73" t="s">
        <v>209</v>
      </c>
      <c r="E44" s="74" t="s">
        <v>249</v>
      </c>
      <c r="F44" s="75" t="s">
        <v>250</v>
      </c>
      <c r="G44" s="76" t="s">
        <v>99</v>
      </c>
      <c r="H44" s="77">
        <v>2</v>
      </c>
      <c r="I44" s="78">
        <v>395.88</v>
      </c>
      <c r="J44" s="77">
        <v>791.8</v>
      </c>
      <c r="K44" s="68">
        <v>0</v>
      </c>
      <c r="L44" s="69">
        <f t="shared" si="1"/>
        <v>395.88</v>
      </c>
      <c r="M44" s="273">
        <f t="shared" si="2"/>
        <v>0</v>
      </c>
      <c r="N44" s="71">
        <f t="shared" si="3"/>
        <v>2</v>
      </c>
      <c r="O44" s="72">
        <f t="shared" si="4"/>
        <v>395.88</v>
      </c>
      <c r="P44" s="274">
        <f t="shared" si="5"/>
        <v>791.76</v>
      </c>
      <c r="Q44" s="185">
        <f t="shared" si="6"/>
        <v>2.08</v>
      </c>
      <c r="S44" s="185"/>
    </row>
    <row r="45" spans="2:19" s="121" customFormat="1" ht="16.5" customHeight="1" x14ac:dyDescent="0.2">
      <c r="B45" s="120"/>
      <c r="C45" s="56" t="s">
        <v>183</v>
      </c>
      <c r="D45" s="56" t="s">
        <v>96</v>
      </c>
      <c r="E45" s="57" t="s">
        <v>252</v>
      </c>
      <c r="F45" s="58" t="s">
        <v>253</v>
      </c>
      <c r="G45" s="59" t="s">
        <v>150</v>
      </c>
      <c r="H45" s="60">
        <v>31.09</v>
      </c>
      <c r="I45" s="61">
        <v>3239.16</v>
      </c>
      <c r="J45" s="60">
        <v>100705.5</v>
      </c>
      <c r="K45" s="68">
        <f t="shared" ref="K45:K46" si="7">ROUND(244.2/245*Q45-Q45,2)</f>
        <v>-0.11</v>
      </c>
      <c r="L45" s="69">
        <f t="shared" si="1"/>
        <v>3239.16</v>
      </c>
      <c r="M45" s="273">
        <f t="shared" si="2"/>
        <v>-356.30759999999998</v>
      </c>
      <c r="N45" s="71">
        <f t="shared" si="3"/>
        <v>30.98</v>
      </c>
      <c r="O45" s="72">
        <f t="shared" si="4"/>
        <v>3239.16</v>
      </c>
      <c r="P45" s="274">
        <f t="shared" si="5"/>
        <v>100349.1768</v>
      </c>
      <c r="Q45" s="185">
        <f t="shared" si="6"/>
        <v>32.369999999999997</v>
      </c>
      <c r="R45" s="194"/>
      <c r="S45" s="185"/>
    </row>
    <row r="46" spans="2:19" s="121" customFormat="1" ht="16.5" customHeight="1" x14ac:dyDescent="0.2">
      <c r="B46" s="120"/>
      <c r="C46" s="56" t="s">
        <v>186</v>
      </c>
      <c r="D46" s="56" t="s">
        <v>96</v>
      </c>
      <c r="E46" s="57" t="s">
        <v>255</v>
      </c>
      <c r="F46" s="58" t="s">
        <v>256</v>
      </c>
      <c r="G46" s="59" t="s">
        <v>150</v>
      </c>
      <c r="H46" s="60">
        <v>2.58</v>
      </c>
      <c r="I46" s="61">
        <v>3188.13</v>
      </c>
      <c r="J46" s="60">
        <v>8225.4</v>
      </c>
      <c r="K46" s="68">
        <f t="shared" si="7"/>
        <v>-0.01</v>
      </c>
      <c r="L46" s="69">
        <f t="shared" si="1"/>
        <v>3188.13</v>
      </c>
      <c r="M46" s="273">
        <f t="shared" si="2"/>
        <v>-31.881300000000003</v>
      </c>
      <c r="N46" s="71">
        <f t="shared" si="3"/>
        <v>2.5700000000000003</v>
      </c>
      <c r="O46" s="72">
        <f t="shared" si="4"/>
        <v>3188.13</v>
      </c>
      <c r="P46" s="274">
        <f t="shared" si="5"/>
        <v>8193.4941000000017</v>
      </c>
      <c r="Q46" s="185">
        <f t="shared" si="6"/>
        <v>2.69</v>
      </c>
      <c r="R46" s="194" t="s">
        <v>925</v>
      </c>
      <c r="S46" s="185"/>
    </row>
    <row r="47" spans="2:19" s="170" customFormat="1" ht="22.9" customHeight="1" x14ac:dyDescent="0.2">
      <c r="B47" s="165"/>
      <c r="C47" s="252"/>
      <c r="D47" s="253" t="s">
        <v>4</v>
      </c>
      <c r="E47" s="254" t="s">
        <v>105</v>
      </c>
      <c r="F47" s="254" t="s">
        <v>257</v>
      </c>
      <c r="G47" s="252"/>
      <c r="H47" s="252"/>
      <c r="I47" s="255"/>
      <c r="J47" s="256">
        <f>+SUBTOTAL(9,J48:J53)</f>
        <v>115402.1</v>
      </c>
      <c r="K47" s="261"/>
      <c r="L47" s="262"/>
      <c r="M47" s="279">
        <f>SUM(M48:M53)</f>
        <v>0</v>
      </c>
      <c r="N47" s="280"/>
      <c r="O47" s="262"/>
      <c r="P47" s="279">
        <f>SUM(P48:P53)</f>
        <v>115401.97</v>
      </c>
      <c r="Q47" s="185">
        <f t="shared" si="6"/>
        <v>0</v>
      </c>
      <c r="S47" s="187"/>
    </row>
    <row r="48" spans="2:19" s="121" customFormat="1" ht="16.5" customHeight="1" x14ac:dyDescent="0.2">
      <c r="B48" s="120"/>
      <c r="C48" s="56" t="s">
        <v>189</v>
      </c>
      <c r="D48" s="56" t="s">
        <v>96</v>
      </c>
      <c r="E48" s="57" t="s">
        <v>262</v>
      </c>
      <c r="F48" s="58" t="s">
        <v>263</v>
      </c>
      <c r="G48" s="59" t="s">
        <v>108</v>
      </c>
      <c r="H48" s="60">
        <v>269.5</v>
      </c>
      <c r="I48" s="61">
        <v>302.54000000000002</v>
      </c>
      <c r="J48" s="60">
        <v>81534.5</v>
      </c>
      <c r="K48" s="68">
        <v>0</v>
      </c>
      <c r="L48" s="69">
        <f t="shared" si="1"/>
        <v>302.54000000000002</v>
      </c>
      <c r="M48" s="273">
        <f t="shared" si="2"/>
        <v>0</v>
      </c>
      <c r="N48" s="71">
        <f t="shared" si="3"/>
        <v>269.5</v>
      </c>
      <c r="O48" s="72">
        <f t="shared" si="4"/>
        <v>302.54000000000002</v>
      </c>
      <c r="P48" s="274">
        <f t="shared" si="5"/>
        <v>81534.53</v>
      </c>
      <c r="Q48" s="185">
        <f t="shared" si="6"/>
        <v>280.56</v>
      </c>
      <c r="R48" s="194"/>
      <c r="S48" s="185"/>
    </row>
    <row r="49" spans="2:19" s="121" customFormat="1" ht="16.5" customHeight="1" x14ac:dyDescent="0.2">
      <c r="B49" s="120"/>
      <c r="C49" s="56" t="s">
        <v>192</v>
      </c>
      <c r="D49" s="56" t="s">
        <v>96</v>
      </c>
      <c r="E49" s="57" t="s">
        <v>265</v>
      </c>
      <c r="F49" s="58" t="s">
        <v>266</v>
      </c>
      <c r="G49" s="59" t="s">
        <v>108</v>
      </c>
      <c r="H49" s="60">
        <v>261.25</v>
      </c>
      <c r="I49" s="61">
        <v>86.36</v>
      </c>
      <c r="J49" s="60">
        <v>22561.599999999999</v>
      </c>
      <c r="K49" s="68">
        <v>0</v>
      </c>
      <c r="L49" s="69">
        <f t="shared" si="1"/>
        <v>86.36</v>
      </c>
      <c r="M49" s="273">
        <f t="shared" si="2"/>
        <v>0</v>
      </c>
      <c r="N49" s="71">
        <f t="shared" si="3"/>
        <v>261.25</v>
      </c>
      <c r="O49" s="72">
        <f t="shared" si="4"/>
        <v>86.36</v>
      </c>
      <c r="P49" s="274">
        <f t="shared" si="5"/>
        <v>22561.55</v>
      </c>
      <c r="Q49" s="185">
        <f t="shared" si="6"/>
        <v>271.97000000000003</v>
      </c>
      <c r="S49" s="185"/>
    </row>
    <row r="50" spans="2:19" s="121" customFormat="1" ht="16.5" customHeight="1" x14ac:dyDescent="0.2">
      <c r="B50" s="120"/>
      <c r="C50" s="56" t="s">
        <v>195</v>
      </c>
      <c r="D50" s="56" t="s">
        <v>96</v>
      </c>
      <c r="E50" s="57" t="s">
        <v>268</v>
      </c>
      <c r="F50" s="58" t="s">
        <v>269</v>
      </c>
      <c r="G50" s="59" t="s">
        <v>108</v>
      </c>
      <c r="H50" s="60">
        <v>8.25</v>
      </c>
      <c r="I50" s="61">
        <v>14.18</v>
      </c>
      <c r="J50" s="60">
        <v>117</v>
      </c>
      <c r="K50" s="68">
        <v>0</v>
      </c>
      <c r="L50" s="69">
        <f t="shared" si="1"/>
        <v>14.18</v>
      </c>
      <c r="M50" s="273">
        <f t="shared" si="2"/>
        <v>0</v>
      </c>
      <c r="N50" s="71">
        <f t="shared" si="3"/>
        <v>8.25</v>
      </c>
      <c r="O50" s="72">
        <f t="shared" si="4"/>
        <v>14.18</v>
      </c>
      <c r="P50" s="274">
        <f t="shared" si="5"/>
        <v>116.985</v>
      </c>
      <c r="Q50" s="185">
        <f t="shared" si="6"/>
        <v>8.59</v>
      </c>
      <c r="S50" s="185"/>
    </row>
    <row r="51" spans="2:19" s="121" customFormat="1" ht="16.5" customHeight="1" x14ac:dyDescent="0.2">
      <c r="B51" s="120"/>
      <c r="C51" s="56" t="s">
        <v>198</v>
      </c>
      <c r="D51" s="56" t="s">
        <v>96</v>
      </c>
      <c r="E51" s="57" t="s">
        <v>271</v>
      </c>
      <c r="F51" s="58" t="s">
        <v>272</v>
      </c>
      <c r="G51" s="59" t="s">
        <v>108</v>
      </c>
      <c r="H51" s="60">
        <v>15.75</v>
      </c>
      <c r="I51" s="61">
        <v>20.62</v>
      </c>
      <c r="J51" s="60">
        <v>324.8</v>
      </c>
      <c r="K51" s="68">
        <v>0</v>
      </c>
      <c r="L51" s="69">
        <f t="shared" si="1"/>
        <v>20.62</v>
      </c>
      <c r="M51" s="273">
        <f t="shared" si="2"/>
        <v>0</v>
      </c>
      <c r="N51" s="71">
        <f t="shared" si="3"/>
        <v>15.75</v>
      </c>
      <c r="O51" s="72">
        <f t="shared" si="4"/>
        <v>20.62</v>
      </c>
      <c r="P51" s="274">
        <f t="shared" si="5"/>
        <v>324.76500000000004</v>
      </c>
      <c r="Q51" s="185">
        <f t="shared" si="6"/>
        <v>16.399999999999999</v>
      </c>
      <c r="S51" s="185"/>
    </row>
    <row r="52" spans="2:19" s="121" customFormat="1" ht="16.5" customHeight="1" x14ac:dyDescent="0.2">
      <c r="B52" s="120"/>
      <c r="C52" s="56" t="s">
        <v>202</v>
      </c>
      <c r="D52" s="56" t="s">
        <v>96</v>
      </c>
      <c r="E52" s="57" t="s">
        <v>274</v>
      </c>
      <c r="F52" s="58" t="s">
        <v>275</v>
      </c>
      <c r="G52" s="59" t="s">
        <v>108</v>
      </c>
      <c r="H52" s="60">
        <v>15.75</v>
      </c>
      <c r="I52" s="61">
        <v>396.71</v>
      </c>
      <c r="J52" s="60">
        <v>6248.2</v>
      </c>
      <c r="K52" s="68">
        <v>0</v>
      </c>
      <c r="L52" s="69">
        <f t="shared" si="1"/>
        <v>396.71</v>
      </c>
      <c r="M52" s="273">
        <f t="shared" si="2"/>
        <v>0</v>
      </c>
      <c r="N52" s="71">
        <f t="shared" si="3"/>
        <v>15.75</v>
      </c>
      <c r="O52" s="72">
        <f t="shared" si="4"/>
        <v>396.71</v>
      </c>
      <c r="P52" s="274">
        <f t="shared" si="5"/>
        <v>6248.1824999999999</v>
      </c>
      <c r="Q52" s="185">
        <f t="shared" si="6"/>
        <v>16.399999999999999</v>
      </c>
      <c r="S52" s="185"/>
    </row>
    <row r="53" spans="2:19" s="121" customFormat="1" ht="16.5" customHeight="1" x14ac:dyDescent="0.2">
      <c r="B53" s="120"/>
      <c r="C53" s="56" t="s">
        <v>205</v>
      </c>
      <c r="D53" s="56" t="s">
        <v>96</v>
      </c>
      <c r="E53" s="57" t="s">
        <v>277</v>
      </c>
      <c r="F53" s="58" t="s">
        <v>278</v>
      </c>
      <c r="G53" s="59" t="s">
        <v>108</v>
      </c>
      <c r="H53" s="60">
        <v>8.25</v>
      </c>
      <c r="I53" s="61">
        <v>559.51</v>
      </c>
      <c r="J53" s="60">
        <v>4616</v>
      </c>
      <c r="K53" s="68">
        <v>0</v>
      </c>
      <c r="L53" s="69">
        <f t="shared" si="1"/>
        <v>559.51</v>
      </c>
      <c r="M53" s="273">
        <f t="shared" si="2"/>
        <v>0</v>
      </c>
      <c r="N53" s="71">
        <f t="shared" si="3"/>
        <v>8.25</v>
      </c>
      <c r="O53" s="72">
        <f t="shared" si="4"/>
        <v>559.51</v>
      </c>
      <c r="P53" s="274">
        <f t="shared" si="5"/>
        <v>4615.9574999999995</v>
      </c>
      <c r="Q53" s="185">
        <f t="shared" si="6"/>
        <v>8.59</v>
      </c>
      <c r="S53" s="185"/>
    </row>
    <row r="54" spans="2:19" s="170" customFormat="1" ht="22.9" customHeight="1" x14ac:dyDescent="0.2">
      <c r="B54" s="165"/>
      <c r="C54" s="252"/>
      <c r="D54" s="253" t="s">
        <v>4</v>
      </c>
      <c r="E54" s="254" t="s">
        <v>115</v>
      </c>
      <c r="F54" s="254" t="s">
        <v>288</v>
      </c>
      <c r="G54" s="252"/>
      <c r="H54" s="252"/>
      <c r="I54" s="255"/>
      <c r="J54" s="256">
        <f>+SUBTOTAL(9,J55:J74)</f>
        <v>637762.69999999995</v>
      </c>
      <c r="K54" s="261"/>
      <c r="L54" s="262"/>
      <c r="M54" s="279">
        <f>SUM(M55:M74)</f>
        <v>-1342.16</v>
      </c>
      <c r="N54" s="280"/>
      <c r="O54" s="262"/>
      <c r="P54" s="279">
        <f>SUM(P55:P74)</f>
        <v>636420.40750000009</v>
      </c>
      <c r="Q54" s="185">
        <f t="shared" si="6"/>
        <v>0</v>
      </c>
      <c r="S54" s="187"/>
    </row>
    <row r="55" spans="2:19" s="121" customFormat="1" ht="16.5" customHeight="1" x14ac:dyDescent="0.2">
      <c r="B55" s="120"/>
      <c r="C55" s="56" t="s">
        <v>208</v>
      </c>
      <c r="D55" s="56" t="s">
        <v>96</v>
      </c>
      <c r="E55" s="57" t="s">
        <v>296</v>
      </c>
      <c r="F55" s="58" t="s">
        <v>297</v>
      </c>
      <c r="G55" s="59" t="s">
        <v>133</v>
      </c>
      <c r="H55" s="60">
        <v>235.34</v>
      </c>
      <c r="I55" s="61">
        <v>552.39</v>
      </c>
      <c r="J55" s="60">
        <v>129999.5</v>
      </c>
      <c r="K55" s="68">
        <f t="shared" ref="K55:K56" si="8">ROUND(244.2/245*Q55-Q55,2)</f>
        <v>-0.8</v>
      </c>
      <c r="L55" s="69">
        <f t="shared" si="1"/>
        <v>552.39</v>
      </c>
      <c r="M55" s="273">
        <f t="shared" si="2"/>
        <v>-441.91200000000003</v>
      </c>
      <c r="N55" s="71">
        <f t="shared" si="3"/>
        <v>234.54</v>
      </c>
      <c r="O55" s="72">
        <f t="shared" si="4"/>
        <v>552.39</v>
      </c>
      <c r="P55" s="274">
        <f t="shared" si="5"/>
        <v>129557.55059999999</v>
      </c>
      <c r="Q55" s="185">
        <f t="shared" si="6"/>
        <v>245</v>
      </c>
      <c r="R55" s="194"/>
      <c r="S55" s="185"/>
    </row>
    <row r="56" spans="2:19" s="121" customFormat="1" ht="16.5" customHeight="1" x14ac:dyDescent="0.2">
      <c r="B56" s="120"/>
      <c r="C56" s="73" t="s">
        <v>212</v>
      </c>
      <c r="D56" s="73" t="s">
        <v>209</v>
      </c>
      <c r="E56" s="74" t="s">
        <v>299</v>
      </c>
      <c r="F56" s="75" t="s">
        <v>300</v>
      </c>
      <c r="G56" s="76" t="s">
        <v>133</v>
      </c>
      <c r="H56" s="77">
        <v>235.34</v>
      </c>
      <c r="I56" s="78">
        <v>1060.07</v>
      </c>
      <c r="J56" s="77">
        <v>249476.9</v>
      </c>
      <c r="K56" s="68">
        <f t="shared" si="8"/>
        <v>-0.8</v>
      </c>
      <c r="L56" s="69">
        <f t="shared" si="1"/>
        <v>1060.07</v>
      </c>
      <c r="M56" s="273">
        <f t="shared" si="2"/>
        <v>-848.05600000000004</v>
      </c>
      <c r="N56" s="71">
        <f t="shared" si="3"/>
        <v>234.54</v>
      </c>
      <c r="O56" s="72">
        <f t="shared" si="4"/>
        <v>1060.07</v>
      </c>
      <c r="P56" s="274">
        <f t="shared" si="5"/>
        <v>248628.81779999999</v>
      </c>
      <c r="Q56" s="185">
        <f t="shared" si="6"/>
        <v>245</v>
      </c>
      <c r="S56" s="185"/>
    </row>
    <row r="57" spans="2:19" s="121" customFormat="1" ht="16.5" customHeight="1" x14ac:dyDescent="0.2">
      <c r="B57" s="120"/>
      <c r="C57" s="73" t="s">
        <v>215</v>
      </c>
      <c r="D57" s="73" t="s">
        <v>209</v>
      </c>
      <c r="E57" s="74" t="s">
        <v>302</v>
      </c>
      <c r="F57" s="75" t="s">
        <v>303</v>
      </c>
      <c r="G57" s="76" t="s">
        <v>99</v>
      </c>
      <c r="H57" s="77">
        <v>9</v>
      </c>
      <c r="I57" s="78">
        <v>739.15</v>
      </c>
      <c r="J57" s="77">
        <v>6652.4</v>
      </c>
      <c r="K57" s="68">
        <v>0</v>
      </c>
      <c r="L57" s="69">
        <f t="shared" si="1"/>
        <v>739.15</v>
      </c>
      <c r="M57" s="273">
        <f t="shared" si="2"/>
        <v>0</v>
      </c>
      <c r="N57" s="71">
        <f t="shared" si="3"/>
        <v>9</v>
      </c>
      <c r="O57" s="72">
        <f t="shared" si="4"/>
        <v>739.15</v>
      </c>
      <c r="P57" s="274">
        <f t="shared" si="5"/>
        <v>6652.3499999999995</v>
      </c>
      <c r="Q57" s="185">
        <f t="shared" si="6"/>
        <v>9.3699999999999992</v>
      </c>
      <c r="S57" s="185"/>
    </row>
    <row r="58" spans="2:19" s="121" customFormat="1" ht="12" x14ac:dyDescent="0.2">
      <c r="B58" s="120"/>
      <c r="C58" s="56" t="s">
        <v>219</v>
      </c>
      <c r="D58" s="56" t="s">
        <v>96</v>
      </c>
      <c r="E58" s="57" t="s">
        <v>320</v>
      </c>
      <c r="F58" s="58" t="s">
        <v>321</v>
      </c>
      <c r="G58" s="59" t="s">
        <v>99</v>
      </c>
      <c r="H58" s="60">
        <v>2</v>
      </c>
      <c r="I58" s="61">
        <v>260.41000000000003</v>
      </c>
      <c r="J58" s="60">
        <v>520.79999999999995</v>
      </c>
      <c r="K58" s="68">
        <v>0</v>
      </c>
      <c r="L58" s="69">
        <f t="shared" si="1"/>
        <v>260.41000000000003</v>
      </c>
      <c r="M58" s="273">
        <f t="shared" si="2"/>
        <v>0</v>
      </c>
      <c r="N58" s="71">
        <f t="shared" si="3"/>
        <v>2</v>
      </c>
      <c r="O58" s="72">
        <f t="shared" si="4"/>
        <v>260.41000000000003</v>
      </c>
      <c r="P58" s="274">
        <f t="shared" si="5"/>
        <v>520.82000000000005</v>
      </c>
      <c r="Q58" s="185">
        <f t="shared" si="6"/>
        <v>2.08</v>
      </c>
      <c r="S58" s="185"/>
    </row>
    <row r="59" spans="2:19" s="121" customFormat="1" ht="12" x14ac:dyDescent="0.2">
      <c r="B59" s="120"/>
      <c r="C59" s="73" t="s">
        <v>223</v>
      </c>
      <c r="D59" s="73" t="s">
        <v>209</v>
      </c>
      <c r="E59" s="74" t="s">
        <v>326</v>
      </c>
      <c r="F59" s="75" t="s">
        <v>327</v>
      </c>
      <c r="G59" s="76" t="s">
        <v>99</v>
      </c>
      <c r="H59" s="77">
        <v>2.0299999999999998</v>
      </c>
      <c r="I59" s="78">
        <v>1801.85</v>
      </c>
      <c r="J59" s="77">
        <v>3657.8</v>
      </c>
      <c r="K59" s="68">
        <v>0</v>
      </c>
      <c r="L59" s="69">
        <f t="shared" si="1"/>
        <v>1801.85</v>
      </c>
      <c r="M59" s="273">
        <f t="shared" si="2"/>
        <v>0</v>
      </c>
      <c r="N59" s="71">
        <f t="shared" si="3"/>
        <v>2.0299999999999998</v>
      </c>
      <c r="O59" s="72">
        <f t="shared" si="4"/>
        <v>1801.85</v>
      </c>
      <c r="P59" s="274">
        <f t="shared" si="5"/>
        <v>3657.7554999999993</v>
      </c>
      <c r="Q59" s="185">
        <f t="shared" si="6"/>
        <v>2.11</v>
      </c>
      <c r="S59" s="185"/>
    </row>
    <row r="60" spans="2:19" s="121" customFormat="1" ht="16.5" customHeight="1" x14ac:dyDescent="0.2">
      <c r="B60" s="120"/>
      <c r="C60" s="56" t="s">
        <v>226</v>
      </c>
      <c r="D60" s="56" t="s">
        <v>96</v>
      </c>
      <c r="E60" s="57" t="s">
        <v>329</v>
      </c>
      <c r="F60" s="58" t="s">
        <v>330</v>
      </c>
      <c r="G60" s="59" t="s">
        <v>99</v>
      </c>
      <c r="H60" s="60">
        <v>13</v>
      </c>
      <c r="I60" s="61">
        <v>219.64</v>
      </c>
      <c r="J60" s="60">
        <v>2855.3</v>
      </c>
      <c r="K60" s="68">
        <v>0</v>
      </c>
      <c r="L60" s="69">
        <f t="shared" si="1"/>
        <v>219.64</v>
      </c>
      <c r="M60" s="273">
        <f t="shared" si="2"/>
        <v>0</v>
      </c>
      <c r="N60" s="71">
        <f t="shared" si="3"/>
        <v>13</v>
      </c>
      <c r="O60" s="72">
        <f t="shared" si="4"/>
        <v>219.64</v>
      </c>
      <c r="P60" s="274">
        <f t="shared" si="5"/>
        <v>2855.3199999999997</v>
      </c>
      <c r="Q60" s="185">
        <f t="shared" si="6"/>
        <v>13.53</v>
      </c>
      <c r="S60" s="185"/>
    </row>
    <row r="61" spans="2:19" s="121" customFormat="1" ht="16.5" customHeight="1" x14ac:dyDescent="0.2">
      <c r="B61" s="120"/>
      <c r="C61" s="73" t="s">
        <v>230</v>
      </c>
      <c r="D61" s="73" t="s">
        <v>209</v>
      </c>
      <c r="E61" s="74" t="s">
        <v>332</v>
      </c>
      <c r="F61" s="75" t="s">
        <v>333</v>
      </c>
      <c r="G61" s="76" t="s">
        <v>99</v>
      </c>
      <c r="H61" s="77">
        <v>6.09</v>
      </c>
      <c r="I61" s="78">
        <v>1129.77</v>
      </c>
      <c r="J61" s="77">
        <v>6880.3</v>
      </c>
      <c r="K61" s="68">
        <v>0</v>
      </c>
      <c r="L61" s="69">
        <f t="shared" si="1"/>
        <v>1129.77</v>
      </c>
      <c r="M61" s="273">
        <f t="shared" si="2"/>
        <v>0</v>
      </c>
      <c r="N61" s="71">
        <f t="shared" si="3"/>
        <v>6.09</v>
      </c>
      <c r="O61" s="72">
        <f t="shared" si="4"/>
        <v>1129.77</v>
      </c>
      <c r="P61" s="274">
        <f t="shared" si="5"/>
        <v>6880.2992999999997</v>
      </c>
      <c r="Q61" s="185">
        <f t="shared" si="6"/>
        <v>6.34</v>
      </c>
      <c r="S61" s="185"/>
    </row>
    <row r="62" spans="2:19" s="121" customFormat="1" ht="16.5" customHeight="1" x14ac:dyDescent="0.2">
      <c r="B62" s="120"/>
      <c r="C62" s="73" t="s">
        <v>233</v>
      </c>
      <c r="D62" s="73" t="s">
        <v>209</v>
      </c>
      <c r="E62" s="74" t="s">
        <v>335</v>
      </c>
      <c r="F62" s="75" t="s">
        <v>336</v>
      </c>
      <c r="G62" s="76" t="s">
        <v>99</v>
      </c>
      <c r="H62" s="77">
        <v>7.11</v>
      </c>
      <c r="I62" s="78">
        <v>1129.77</v>
      </c>
      <c r="J62" s="77">
        <v>8032.7</v>
      </c>
      <c r="K62" s="68">
        <v>0</v>
      </c>
      <c r="L62" s="69">
        <f t="shared" si="1"/>
        <v>1129.77</v>
      </c>
      <c r="M62" s="273">
        <f t="shared" si="2"/>
        <v>0</v>
      </c>
      <c r="N62" s="71">
        <f t="shared" si="3"/>
        <v>7.11</v>
      </c>
      <c r="O62" s="72">
        <f t="shared" si="4"/>
        <v>1129.77</v>
      </c>
      <c r="P62" s="274">
        <f t="shared" si="5"/>
        <v>8032.6647000000003</v>
      </c>
      <c r="Q62" s="185">
        <f t="shared" si="6"/>
        <v>7.4</v>
      </c>
      <c r="S62" s="185"/>
    </row>
    <row r="63" spans="2:19" s="121" customFormat="1" ht="33.75" customHeight="1" x14ac:dyDescent="0.2">
      <c r="B63" s="120"/>
      <c r="C63" s="56" t="s">
        <v>236</v>
      </c>
      <c r="D63" s="56" t="s">
        <v>96</v>
      </c>
      <c r="E63" s="57" t="s">
        <v>347</v>
      </c>
      <c r="F63" s="58" t="s">
        <v>348</v>
      </c>
      <c r="G63" s="59" t="s">
        <v>133</v>
      </c>
      <c r="H63" s="60">
        <v>235.34</v>
      </c>
      <c r="I63" s="61">
        <v>56.03</v>
      </c>
      <c r="J63" s="60">
        <v>13186.1</v>
      </c>
      <c r="K63" s="68">
        <f t="shared" ref="K63" si="9">ROUND(244.2/245*Q63-Q63,2)</f>
        <v>-0.8</v>
      </c>
      <c r="L63" s="69">
        <f t="shared" si="1"/>
        <v>56.03</v>
      </c>
      <c r="M63" s="273">
        <f t="shared" si="2"/>
        <v>-44.824000000000005</v>
      </c>
      <c r="N63" s="71">
        <f t="shared" si="3"/>
        <v>234.54</v>
      </c>
      <c r="O63" s="72">
        <f t="shared" si="4"/>
        <v>56.03</v>
      </c>
      <c r="P63" s="274">
        <f t="shared" si="5"/>
        <v>13141.2762</v>
      </c>
      <c r="Q63" s="185">
        <f t="shared" si="6"/>
        <v>245</v>
      </c>
      <c r="S63" s="185"/>
    </row>
    <row r="64" spans="2:19" s="121" customFormat="1" ht="16.5" customHeight="1" x14ac:dyDescent="0.2">
      <c r="B64" s="120"/>
      <c r="C64" s="56" t="s">
        <v>239</v>
      </c>
      <c r="D64" s="56" t="s">
        <v>96</v>
      </c>
      <c r="E64" s="57" t="s">
        <v>350</v>
      </c>
      <c r="F64" s="58" t="s">
        <v>351</v>
      </c>
      <c r="G64" s="59" t="s">
        <v>99</v>
      </c>
      <c r="H64" s="60">
        <v>11</v>
      </c>
      <c r="I64" s="61">
        <v>808.86</v>
      </c>
      <c r="J64" s="60">
        <v>8897.5</v>
      </c>
      <c r="K64" s="68">
        <v>0</v>
      </c>
      <c r="L64" s="69">
        <f t="shared" si="1"/>
        <v>808.86</v>
      </c>
      <c r="M64" s="273">
        <f t="shared" si="2"/>
        <v>0</v>
      </c>
      <c r="N64" s="71">
        <f t="shared" si="3"/>
        <v>11</v>
      </c>
      <c r="O64" s="72">
        <f t="shared" si="4"/>
        <v>808.86</v>
      </c>
      <c r="P64" s="274">
        <f t="shared" si="5"/>
        <v>8897.4600000000009</v>
      </c>
      <c r="Q64" s="185">
        <f t="shared" si="6"/>
        <v>11.45</v>
      </c>
      <c r="S64" s="185"/>
    </row>
    <row r="65" spans="2:19" s="121" customFormat="1" ht="16.5" customHeight="1" x14ac:dyDescent="0.2">
      <c r="B65" s="120"/>
      <c r="C65" s="73" t="s">
        <v>242</v>
      </c>
      <c r="D65" s="73" t="s">
        <v>209</v>
      </c>
      <c r="E65" s="74" t="s">
        <v>356</v>
      </c>
      <c r="F65" s="75" t="s">
        <v>357</v>
      </c>
      <c r="G65" s="76" t="s">
        <v>99</v>
      </c>
      <c r="H65" s="77">
        <v>7</v>
      </c>
      <c r="I65" s="78">
        <v>1202.1099999999999</v>
      </c>
      <c r="J65" s="77">
        <v>8414.7999999999993</v>
      </c>
      <c r="K65" s="68">
        <v>0</v>
      </c>
      <c r="L65" s="69">
        <f t="shared" si="1"/>
        <v>1202.1099999999999</v>
      </c>
      <c r="M65" s="273">
        <f t="shared" si="2"/>
        <v>0</v>
      </c>
      <c r="N65" s="71">
        <f t="shared" si="3"/>
        <v>7</v>
      </c>
      <c r="O65" s="72">
        <f t="shared" si="4"/>
        <v>1202.1099999999999</v>
      </c>
      <c r="P65" s="274">
        <f t="shared" si="5"/>
        <v>8414.7699999999986</v>
      </c>
      <c r="Q65" s="185">
        <f t="shared" si="6"/>
        <v>7.29</v>
      </c>
      <c r="S65" s="185"/>
    </row>
    <row r="66" spans="2:19" s="121" customFormat="1" ht="16.5" customHeight="1" x14ac:dyDescent="0.2">
      <c r="B66" s="120"/>
      <c r="C66" s="73" t="s">
        <v>245</v>
      </c>
      <c r="D66" s="73" t="s">
        <v>209</v>
      </c>
      <c r="E66" s="74" t="s">
        <v>359</v>
      </c>
      <c r="F66" s="75" t="s">
        <v>360</v>
      </c>
      <c r="G66" s="76" t="s">
        <v>99</v>
      </c>
      <c r="H66" s="77">
        <v>4</v>
      </c>
      <c r="I66" s="78">
        <v>775.98</v>
      </c>
      <c r="J66" s="77">
        <v>3103.9</v>
      </c>
      <c r="K66" s="68">
        <v>0</v>
      </c>
      <c r="L66" s="69">
        <f t="shared" si="1"/>
        <v>775.98</v>
      </c>
      <c r="M66" s="273">
        <f t="shared" si="2"/>
        <v>0</v>
      </c>
      <c r="N66" s="71">
        <f t="shared" si="3"/>
        <v>4</v>
      </c>
      <c r="O66" s="72">
        <f t="shared" si="4"/>
        <v>775.98</v>
      </c>
      <c r="P66" s="274">
        <f t="shared" si="5"/>
        <v>3103.92</v>
      </c>
      <c r="Q66" s="185">
        <f t="shared" si="6"/>
        <v>4.16</v>
      </c>
      <c r="S66" s="185"/>
    </row>
    <row r="67" spans="2:19" s="121" customFormat="1" ht="16.5" customHeight="1" x14ac:dyDescent="0.2">
      <c r="B67" s="120"/>
      <c r="C67" s="73" t="s">
        <v>248</v>
      </c>
      <c r="D67" s="73" t="s">
        <v>209</v>
      </c>
      <c r="E67" s="74" t="s">
        <v>362</v>
      </c>
      <c r="F67" s="75" t="s">
        <v>363</v>
      </c>
      <c r="G67" s="76" t="s">
        <v>99</v>
      </c>
      <c r="H67" s="77">
        <v>18</v>
      </c>
      <c r="I67" s="78">
        <v>211.75</v>
      </c>
      <c r="J67" s="77">
        <v>3811.5</v>
      </c>
      <c r="K67" s="68">
        <v>0</v>
      </c>
      <c r="L67" s="69">
        <f t="shared" si="1"/>
        <v>211.75</v>
      </c>
      <c r="M67" s="273">
        <f t="shared" si="2"/>
        <v>0</v>
      </c>
      <c r="N67" s="71">
        <f t="shared" si="3"/>
        <v>18</v>
      </c>
      <c r="O67" s="72">
        <f t="shared" si="4"/>
        <v>211.75</v>
      </c>
      <c r="P67" s="274">
        <f t="shared" si="5"/>
        <v>3811.5</v>
      </c>
      <c r="Q67" s="185">
        <f t="shared" si="6"/>
        <v>18.739999999999998</v>
      </c>
      <c r="S67" s="185"/>
    </row>
    <row r="68" spans="2:19" s="121" customFormat="1" ht="16.5" customHeight="1" x14ac:dyDescent="0.2">
      <c r="B68" s="120"/>
      <c r="C68" s="56" t="s">
        <v>251</v>
      </c>
      <c r="D68" s="56" t="s">
        <v>96</v>
      </c>
      <c r="E68" s="57" t="s">
        <v>365</v>
      </c>
      <c r="F68" s="58" t="s">
        <v>366</v>
      </c>
      <c r="G68" s="59" t="s">
        <v>99</v>
      </c>
      <c r="H68" s="60">
        <v>7</v>
      </c>
      <c r="I68" s="61">
        <v>808.86</v>
      </c>
      <c r="J68" s="60">
        <v>5662</v>
      </c>
      <c r="K68" s="68">
        <v>0</v>
      </c>
      <c r="L68" s="69">
        <f t="shared" si="1"/>
        <v>808.86</v>
      </c>
      <c r="M68" s="273">
        <f t="shared" si="2"/>
        <v>0</v>
      </c>
      <c r="N68" s="71">
        <f t="shared" si="3"/>
        <v>7</v>
      </c>
      <c r="O68" s="72">
        <f t="shared" si="4"/>
        <v>808.86</v>
      </c>
      <c r="P68" s="274">
        <f t="shared" si="5"/>
        <v>5662.02</v>
      </c>
      <c r="Q68" s="185">
        <f t="shared" si="6"/>
        <v>7.29</v>
      </c>
      <c r="S68" s="185"/>
    </row>
    <row r="69" spans="2:19" s="121" customFormat="1" ht="16.5" customHeight="1" x14ac:dyDescent="0.2">
      <c r="B69" s="120"/>
      <c r="C69" s="73" t="s">
        <v>254</v>
      </c>
      <c r="D69" s="73" t="s">
        <v>209</v>
      </c>
      <c r="E69" s="74" t="s">
        <v>368</v>
      </c>
      <c r="F69" s="75" t="s">
        <v>369</v>
      </c>
      <c r="G69" s="76" t="s">
        <v>99</v>
      </c>
      <c r="H69" s="77">
        <v>7</v>
      </c>
      <c r="I69" s="78">
        <v>1530.92</v>
      </c>
      <c r="J69" s="77">
        <v>10716.4</v>
      </c>
      <c r="K69" s="68">
        <v>0</v>
      </c>
      <c r="L69" s="69">
        <f t="shared" si="1"/>
        <v>1530.92</v>
      </c>
      <c r="M69" s="273">
        <f t="shared" si="2"/>
        <v>0</v>
      </c>
      <c r="N69" s="71">
        <f t="shared" si="3"/>
        <v>7</v>
      </c>
      <c r="O69" s="72">
        <f t="shared" si="4"/>
        <v>1530.92</v>
      </c>
      <c r="P69" s="274">
        <f t="shared" si="5"/>
        <v>10716.44</v>
      </c>
      <c r="Q69" s="185">
        <f t="shared" si="6"/>
        <v>7.29</v>
      </c>
      <c r="S69" s="185"/>
    </row>
    <row r="70" spans="2:19" s="121" customFormat="1" ht="16.5" customHeight="1" x14ac:dyDescent="0.2">
      <c r="B70" s="120"/>
      <c r="C70" s="56" t="s">
        <v>258</v>
      </c>
      <c r="D70" s="56" t="s">
        <v>96</v>
      </c>
      <c r="E70" s="57" t="s">
        <v>371</v>
      </c>
      <c r="F70" s="58" t="s">
        <v>372</v>
      </c>
      <c r="G70" s="59" t="s">
        <v>99</v>
      </c>
      <c r="H70" s="60">
        <v>7</v>
      </c>
      <c r="I70" s="61">
        <v>3234.12</v>
      </c>
      <c r="J70" s="60">
        <v>22638.799999999999</v>
      </c>
      <c r="K70" s="68">
        <v>0</v>
      </c>
      <c r="L70" s="69">
        <f t="shared" si="1"/>
        <v>3234.12</v>
      </c>
      <c r="M70" s="273">
        <f t="shared" si="2"/>
        <v>0</v>
      </c>
      <c r="N70" s="71">
        <f t="shared" si="3"/>
        <v>7</v>
      </c>
      <c r="O70" s="72">
        <f t="shared" si="4"/>
        <v>3234.12</v>
      </c>
      <c r="P70" s="274">
        <f t="shared" si="5"/>
        <v>22638.84</v>
      </c>
      <c r="Q70" s="185">
        <f t="shared" si="6"/>
        <v>7.29</v>
      </c>
      <c r="S70" s="185"/>
    </row>
    <row r="71" spans="2:19" s="121" customFormat="1" ht="16.5" customHeight="1" x14ac:dyDescent="0.2">
      <c r="B71" s="120"/>
      <c r="C71" s="73" t="s">
        <v>261</v>
      </c>
      <c r="D71" s="73" t="s">
        <v>209</v>
      </c>
      <c r="E71" s="74" t="s">
        <v>374</v>
      </c>
      <c r="F71" s="75" t="s">
        <v>375</v>
      </c>
      <c r="G71" s="76" t="s">
        <v>99</v>
      </c>
      <c r="H71" s="77">
        <v>7</v>
      </c>
      <c r="I71" s="78">
        <v>14588.41</v>
      </c>
      <c r="J71" s="77">
        <v>102118.9</v>
      </c>
      <c r="K71" s="68">
        <v>0</v>
      </c>
      <c r="L71" s="69">
        <f t="shared" si="1"/>
        <v>14588.41</v>
      </c>
      <c r="M71" s="273">
        <f t="shared" si="2"/>
        <v>0</v>
      </c>
      <c r="N71" s="71">
        <f t="shared" si="3"/>
        <v>7</v>
      </c>
      <c r="O71" s="72">
        <f t="shared" si="4"/>
        <v>14588.41</v>
      </c>
      <c r="P71" s="274">
        <f t="shared" si="5"/>
        <v>102118.87</v>
      </c>
      <c r="Q71" s="185">
        <f t="shared" si="6"/>
        <v>7.29</v>
      </c>
      <c r="S71" s="185"/>
    </row>
    <row r="72" spans="2:19" s="121" customFormat="1" ht="12" x14ac:dyDescent="0.2">
      <c r="B72" s="120"/>
      <c r="C72" s="56" t="s">
        <v>264</v>
      </c>
      <c r="D72" s="56" t="s">
        <v>96</v>
      </c>
      <c r="E72" s="57" t="s">
        <v>377</v>
      </c>
      <c r="F72" s="58" t="s">
        <v>378</v>
      </c>
      <c r="G72" s="59" t="s">
        <v>99</v>
      </c>
      <c r="H72" s="60">
        <v>7</v>
      </c>
      <c r="I72" s="61">
        <v>485.32</v>
      </c>
      <c r="J72" s="60">
        <v>3397.2</v>
      </c>
      <c r="K72" s="68">
        <v>0</v>
      </c>
      <c r="L72" s="69">
        <f t="shared" si="1"/>
        <v>485.32</v>
      </c>
      <c r="M72" s="273">
        <f t="shared" si="2"/>
        <v>0</v>
      </c>
      <c r="N72" s="71">
        <f t="shared" si="3"/>
        <v>7</v>
      </c>
      <c r="O72" s="72">
        <f t="shared" si="4"/>
        <v>485.32</v>
      </c>
      <c r="P72" s="274">
        <f t="shared" si="5"/>
        <v>3397.24</v>
      </c>
      <c r="Q72" s="185">
        <f t="shared" si="6"/>
        <v>7.29</v>
      </c>
      <c r="R72" s="191"/>
      <c r="S72" s="185"/>
    </row>
    <row r="73" spans="2:19" s="121" customFormat="1" ht="16.5" customHeight="1" x14ac:dyDescent="0.2">
      <c r="B73" s="120"/>
      <c r="C73" s="73" t="s">
        <v>267</v>
      </c>
      <c r="D73" s="73" t="s">
        <v>209</v>
      </c>
      <c r="E73" s="74" t="s">
        <v>380</v>
      </c>
      <c r="F73" s="75" t="s">
        <v>381</v>
      </c>
      <c r="G73" s="76" t="s">
        <v>99</v>
      </c>
      <c r="H73" s="77">
        <v>7</v>
      </c>
      <c r="I73" s="78">
        <v>6510.34</v>
      </c>
      <c r="J73" s="77">
        <v>45572.4</v>
      </c>
      <c r="K73" s="68">
        <v>0</v>
      </c>
      <c r="L73" s="69">
        <f t="shared" si="1"/>
        <v>6510.34</v>
      </c>
      <c r="M73" s="273">
        <f t="shared" si="2"/>
        <v>0</v>
      </c>
      <c r="N73" s="71">
        <f t="shared" si="3"/>
        <v>7</v>
      </c>
      <c r="O73" s="72">
        <f t="shared" si="4"/>
        <v>6510.34</v>
      </c>
      <c r="P73" s="274">
        <f t="shared" si="5"/>
        <v>45572.380000000005</v>
      </c>
      <c r="Q73" s="185">
        <f t="shared" si="6"/>
        <v>7.29</v>
      </c>
      <c r="S73" s="185"/>
    </row>
    <row r="74" spans="2:19" s="121" customFormat="1" ht="16.5" customHeight="1" x14ac:dyDescent="0.2">
      <c r="B74" s="120"/>
      <c r="C74" s="56" t="s">
        <v>270</v>
      </c>
      <c r="D74" s="56" t="s">
        <v>96</v>
      </c>
      <c r="E74" s="57" t="s">
        <v>383</v>
      </c>
      <c r="F74" s="58" t="s">
        <v>384</v>
      </c>
      <c r="G74" s="59" t="s">
        <v>133</v>
      </c>
      <c r="H74" s="60">
        <v>235.34</v>
      </c>
      <c r="I74" s="61">
        <v>9.2100000000000009</v>
      </c>
      <c r="J74" s="60">
        <v>2167.5</v>
      </c>
      <c r="K74" s="68">
        <f t="shared" ref="K74" si="10">ROUND(244.2/245*Q74-Q74,2)</f>
        <v>-0.8</v>
      </c>
      <c r="L74" s="69">
        <f t="shared" si="1"/>
        <v>9.2100000000000009</v>
      </c>
      <c r="M74" s="273">
        <f t="shared" si="2"/>
        <v>-7.3680000000000012</v>
      </c>
      <c r="N74" s="71">
        <f t="shared" si="3"/>
        <v>234.54</v>
      </c>
      <c r="O74" s="72">
        <f t="shared" si="4"/>
        <v>9.2100000000000009</v>
      </c>
      <c r="P74" s="274">
        <f t="shared" si="5"/>
        <v>2160.1134000000002</v>
      </c>
      <c r="Q74" s="185">
        <f t="shared" si="6"/>
        <v>245</v>
      </c>
      <c r="R74" s="194"/>
      <c r="S74" s="185"/>
    </row>
    <row r="75" spans="2:19" s="170" customFormat="1" ht="22.9" customHeight="1" x14ac:dyDescent="0.2">
      <c r="B75" s="165"/>
      <c r="C75" s="252"/>
      <c r="D75" s="253" t="s">
        <v>4</v>
      </c>
      <c r="E75" s="254" t="s">
        <v>118</v>
      </c>
      <c r="F75" s="254" t="s">
        <v>385</v>
      </c>
      <c r="G75" s="252"/>
      <c r="H75" s="252"/>
      <c r="I75" s="255"/>
      <c r="J75" s="256">
        <f>+SUBTOTAL(9,J76:J77)</f>
        <v>2399.8999999999996</v>
      </c>
      <c r="K75" s="261"/>
      <c r="L75" s="262"/>
      <c r="M75" s="279">
        <f>SUM(M76:M77)</f>
        <v>0</v>
      </c>
      <c r="N75" s="280"/>
      <c r="O75" s="262"/>
      <c r="P75" s="279">
        <f>SUM(P76:P77)</f>
        <v>2399.8500000000004</v>
      </c>
      <c r="Q75" s="185">
        <f t="shared" si="6"/>
        <v>0</v>
      </c>
      <c r="S75" s="187"/>
    </row>
    <row r="76" spans="2:19" s="121" customFormat="1" ht="16.5" customHeight="1" x14ac:dyDescent="0.2">
      <c r="B76" s="120"/>
      <c r="C76" s="56" t="s">
        <v>273</v>
      </c>
      <c r="D76" s="56" t="s">
        <v>96</v>
      </c>
      <c r="E76" s="57" t="s">
        <v>387</v>
      </c>
      <c r="F76" s="58" t="s">
        <v>388</v>
      </c>
      <c r="G76" s="59" t="s">
        <v>133</v>
      </c>
      <c r="H76" s="60">
        <v>15</v>
      </c>
      <c r="I76" s="61">
        <v>87.65</v>
      </c>
      <c r="J76" s="60">
        <v>1314.8</v>
      </c>
      <c r="K76" s="68">
        <v>0</v>
      </c>
      <c r="L76" s="69">
        <f t="shared" si="1"/>
        <v>87.65</v>
      </c>
      <c r="M76" s="273">
        <f t="shared" si="2"/>
        <v>0</v>
      </c>
      <c r="N76" s="71">
        <f t="shared" si="3"/>
        <v>15</v>
      </c>
      <c r="O76" s="72">
        <f t="shared" si="4"/>
        <v>87.65</v>
      </c>
      <c r="P76" s="274">
        <f t="shared" si="5"/>
        <v>1314.75</v>
      </c>
      <c r="Q76" s="185">
        <f t="shared" si="6"/>
        <v>15.62</v>
      </c>
      <c r="S76" s="185"/>
    </row>
    <row r="77" spans="2:19" s="121" customFormat="1" ht="16.5" customHeight="1" x14ac:dyDescent="0.2">
      <c r="B77" s="120"/>
      <c r="C77" s="56" t="s">
        <v>276</v>
      </c>
      <c r="D77" s="56" t="s">
        <v>96</v>
      </c>
      <c r="E77" s="57" t="s">
        <v>390</v>
      </c>
      <c r="F77" s="58" t="s">
        <v>391</v>
      </c>
      <c r="G77" s="59" t="s">
        <v>133</v>
      </c>
      <c r="H77" s="60">
        <v>15</v>
      </c>
      <c r="I77" s="61">
        <v>72.34</v>
      </c>
      <c r="J77" s="60">
        <v>1085.0999999999999</v>
      </c>
      <c r="K77" s="68">
        <v>0</v>
      </c>
      <c r="L77" s="69">
        <f t="shared" si="1"/>
        <v>72.34</v>
      </c>
      <c r="M77" s="273">
        <f t="shared" si="2"/>
        <v>0</v>
      </c>
      <c r="N77" s="71">
        <f t="shared" si="3"/>
        <v>15</v>
      </c>
      <c r="O77" s="72">
        <f t="shared" si="4"/>
        <v>72.34</v>
      </c>
      <c r="P77" s="274">
        <f t="shared" si="5"/>
        <v>1085.1000000000001</v>
      </c>
      <c r="Q77" s="185">
        <f t="shared" si="6"/>
        <v>15.62</v>
      </c>
      <c r="S77" s="185"/>
    </row>
    <row r="78" spans="2:19" s="170" customFormat="1" ht="22.9" customHeight="1" x14ac:dyDescent="0.2">
      <c r="B78" s="165"/>
      <c r="C78" s="252"/>
      <c r="D78" s="253" t="s">
        <v>4</v>
      </c>
      <c r="E78" s="254" t="s">
        <v>398</v>
      </c>
      <c r="F78" s="254" t="s">
        <v>399</v>
      </c>
      <c r="G78" s="252"/>
      <c r="H78" s="252"/>
      <c r="I78" s="255"/>
      <c r="J78" s="256">
        <f>+SUBTOTAL(9,J79:J81)</f>
        <v>65647.5</v>
      </c>
      <c r="K78" s="261"/>
      <c r="L78" s="262"/>
      <c r="M78" s="279">
        <f>SUM(M79:M81)</f>
        <v>-219.6352</v>
      </c>
      <c r="N78" s="280"/>
      <c r="O78" s="262"/>
      <c r="P78" s="279">
        <f>SUM(P79:P81)</f>
        <v>65427.876699999993</v>
      </c>
      <c r="Q78" s="185">
        <f t="shared" si="6"/>
        <v>0</v>
      </c>
      <c r="S78" s="187"/>
    </row>
    <row r="79" spans="2:19" s="121" customFormat="1" ht="16.5" customHeight="1" x14ac:dyDescent="0.2">
      <c r="B79" s="120"/>
      <c r="C79" s="56" t="s">
        <v>279</v>
      </c>
      <c r="D79" s="56" t="s">
        <v>96</v>
      </c>
      <c r="E79" s="57" t="s">
        <v>401</v>
      </c>
      <c r="F79" s="58" t="s">
        <v>402</v>
      </c>
      <c r="G79" s="59" t="s">
        <v>201</v>
      </c>
      <c r="H79" s="60">
        <v>274.23</v>
      </c>
      <c r="I79" s="61">
        <v>83.16</v>
      </c>
      <c r="J79" s="60">
        <v>22805</v>
      </c>
      <c r="K79" s="68">
        <f t="shared" ref="K79" si="11">ROUND(244.2/245*Q79-Q79,2)</f>
        <v>-0.93</v>
      </c>
      <c r="L79" s="69">
        <f t="shared" si="1"/>
        <v>83.16</v>
      </c>
      <c r="M79" s="273">
        <f t="shared" si="2"/>
        <v>-77.338800000000006</v>
      </c>
      <c r="N79" s="71">
        <f t="shared" si="3"/>
        <v>273.3</v>
      </c>
      <c r="O79" s="72">
        <f t="shared" si="4"/>
        <v>83.16</v>
      </c>
      <c r="P79" s="274">
        <f t="shared" si="5"/>
        <v>22727.628000000001</v>
      </c>
      <c r="Q79" s="185">
        <f t="shared" si="6"/>
        <v>285.49</v>
      </c>
      <c r="S79" s="185"/>
    </row>
    <row r="80" spans="2:19" s="121" customFormat="1" ht="16.5" customHeight="1" x14ac:dyDescent="0.2">
      <c r="B80" s="120"/>
      <c r="C80" s="56" t="s">
        <v>282</v>
      </c>
      <c r="D80" s="56" t="s">
        <v>96</v>
      </c>
      <c r="E80" s="57" t="s">
        <v>407</v>
      </c>
      <c r="F80" s="58" t="s">
        <v>408</v>
      </c>
      <c r="G80" s="59" t="s">
        <v>201</v>
      </c>
      <c r="H80" s="60">
        <v>4.13</v>
      </c>
      <c r="I80" s="61">
        <v>257.77999999999997</v>
      </c>
      <c r="J80" s="60">
        <v>1064.5999999999999</v>
      </c>
      <c r="K80" s="68">
        <v>0</v>
      </c>
      <c r="L80" s="69">
        <f t="shared" ref="L80:L83" si="12">I80</f>
        <v>257.77999999999997</v>
      </c>
      <c r="M80" s="273">
        <f t="shared" ref="M80:M83" si="13">K80*L80</f>
        <v>0</v>
      </c>
      <c r="N80" s="71">
        <f t="shared" ref="N80:N83" si="14">H80+K80</f>
        <v>4.13</v>
      </c>
      <c r="O80" s="72">
        <f t="shared" ref="O80:O83" si="15">I80</f>
        <v>257.77999999999997</v>
      </c>
      <c r="P80" s="274">
        <f t="shared" ref="P80:P83" si="16">N80*O80</f>
        <v>1064.6313999999998</v>
      </c>
      <c r="Q80" s="185">
        <f t="shared" ref="Q80:Q83" si="17">ROUND(245/235.34*H80,2)</f>
        <v>4.3</v>
      </c>
      <c r="S80" s="185"/>
    </row>
    <row r="81" spans="2:19" s="121" customFormat="1" ht="16.5" customHeight="1" x14ac:dyDescent="0.2">
      <c r="B81" s="120"/>
      <c r="C81" s="56" t="s">
        <v>285</v>
      </c>
      <c r="D81" s="56" t="s">
        <v>96</v>
      </c>
      <c r="E81" s="57" t="s">
        <v>410</v>
      </c>
      <c r="F81" s="58" t="s">
        <v>411</v>
      </c>
      <c r="G81" s="59" t="s">
        <v>201</v>
      </c>
      <c r="H81" s="60">
        <v>270.11</v>
      </c>
      <c r="I81" s="61">
        <v>154.66999999999999</v>
      </c>
      <c r="J81" s="60">
        <v>41777.9</v>
      </c>
      <c r="K81" s="68">
        <f t="shared" ref="K81" si="18">ROUND(244.2/245*Q81-Q81,2)</f>
        <v>-0.92</v>
      </c>
      <c r="L81" s="69">
        <f t="shared" si="12"/>
        <v>154.66999999999999</v>
      </c>
      <c r="M81" s="273">
        <f t="shared" si="13"/>
        <v>-142.29640000000001</v>
      </c>
      <c r="N81" s="71">
        <f t="shared" si="14"/>
        <v>269.19</v>
      </c>
      <c r="O81" s="72">
        <f t="shared" si="15"/>
        <v>154.66999999999999</v>
      </c>
      <c r="P81" s="274">
        <f t="shared" si="16"/>
        <v>41635.617299999998</v>
      </c>
      <c r="Q81" s="185">
        <f t="shared" si="17"/>
        <v>281.2</v>
      </c>
      <c r="S81" s="185"/>
    </row>
    <row r="82" spans="2:19" s="170" customFormat="1" ht="22.9" customHeight="1" x14ac:dyDescent="0.2">
      <c r="B82" s="165"/>
      <c r="C82" s="252"/>
      <c r="D82" s="253" t="s">
        <v>4</v>
      </c>
      <c r="E82" s="254" t="s">
        <v>412</v>
      </c>
      <c r="F82" s="254" t="s">
        <v>413</v>
      </c>
      <c r="G82" s="252"/>
      <c r="H82" s="252"/>
      <c r="I82" s="255"/>
      <c r="J82" s="256">
        <f>+SUBTOTAL(9,J83)</f>
        <v>69257.3</v>
      </c>
      <c r="K82" s="261"/>
      <c r="L82" s="262"/>
      <c r="M82" s="279">
        <f>M83</f>
        <v>-235.70520000000002</v>
      </c>
      <c r="N82" s="280"/>
      <c r="O82" s="262"/>
      <c r="P82" s="279">
        <f>P83</f>
        <v>69021.5766</v>
      </c>
      <c r="Q82" s="185">
        <f t="shared" si="17"/>
        <v>0</v>
      </c>
      <c r="S82" s="187"/>
    </row>
    <row r="83" spans="2:19" s="121" customFormat="1" ht="16.5" customHeight="1" x14ac:dyDescent="0.2">
      <c r="B83" s="120"/>
      <c r="C83" s="56" t="s">
        <v>289</v>
      </c>
      <c r="D83" s="56" t="s">
        <v>96</v>
      </c>
      <c r="E83" s="57" t="s">
        <v>415</v>
      </c>
      <c r="F83" s="58" t="s">
        <v>416</v>
      </c>
      <c r="G83" s="59" t="s">
        <v>201</v>
      </c>
      <c r="H83" s="60">
        <v>605.29</v>
      </c>
      <c r="I83" s="61">
        <v>114.42</v>
      </c>
      <c r="J83" s="60">
        <v>69257.3</v>
      </c>
      <c r="K83" s="68">
        <f t="shared" ref="K83" si="19">ROUND(244.2/245*Q83-Q83,2)</f>
        <v>-2.06</v>
      </c>
      <c r="L83" s="69">
        <f t="shared" si="12"/>
        <v>114.42</v>
      </c>
      <c r="M83" s="273">
        <f t="shared" si="13"/>
        <v>-235.70520000000002</v>
      </c>
      <c r="N83" s="71">
        <f t="shared" si="14"/>
        <v>603.23</v>
      </c>
      <c r="O83" s="72">
        <f t="shared" si="15"/>
        <v>114.42</v>
      </c>
      <c r="P83" s="274">
        <f t="shared" si="16"/>
        <v>69021.5766</v>
      </c>
      <c r="Q83" s="185">
        <f t="shared" si="17"/>
        <v>630.14</v>
      </c>
      <c r="R83" s="194"/>
      <c r="S83" s="185"/>
    </row>
    <row r="84" spans="2:19" s="121" customFormat="1" ht="6.95" customHeight="1" x14ac:dyDescent="0.2">
      <c r="B84" s="120"/>
      <c r="C84" s="120"/>
      <c r="D84" s="120"/>
      <c r="E84" s="120"/>
      <c r="F84" s="120"/>
      <c r="G84" s="120"/>
      <c r="H84" s="120"/>
      <c r="I84" s="153"/>
      <c r="J84" s="120"/>
    </row>
    <row r="85" spans="2:19" ht="18" customHeight="1" x14ac:dyDescent="0.2">
      <c r="D85" s="42"/>
      <c r="E85" s="43" t="s">
        <v>892</v>
      </c>
      <c r="F85" s="44"/>
      <c r="G85" s="44"/>
      <c r="H85" s="45"/>
      <c r="I85" s="44"/>
      <c r="J85" s="46">
        <f>ROUND(SUBTOTAL(9,J12:J83),2)</f>
        <v>1852695.8</v>
      </c>
      <c r="K85" s="49"/>
      <c r="L85" s="46"/>
      <c r="M85" s="281">
        <f>M82+M78+M75+M54+M47+M39+M36+M14</f>
        <v>-5069.7415000000001</v>
      </c>
      <c r="N85" s="49"/>
      <c r="O85" s="46"/>
      <c r="P85" s="281">
        <f>P82+P78+P75+P54+P47+P39+P36+P14</f>
        <v>1847625.9128</v>
      </c>
    </row>
    <row r="86" spans="2:19" ht="12.75" x14ac:dyDescent="0.2">
      <c r="H86" s="50"/>
      <c r="I86" s="8"/>
      <c r="J86" s="9"/>
    </row>
    <row r="87" spans="2:19" ht="14.25" x14ac:dyDescent="0.2">
      <c r="E87" s="6" t="s">
        <v>849</v>
      </c>
      <c r="F87" s="6"/>
      <c r="G87" s="320" t="s">
        <v>1224</v>
      </c>
      <c r="H87" s="50"/>
      <c r="I87" s="8"/>
      <c r="J87" s="6"/>
      <c r="K87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83" xr:uid="{00000000-0009-0000-0000-000011000000}"/>
  <mergeCells count="2">
    <mergeCell ref="K9:M9"/>
    <mergeCell ref="N9:P9"/>
  </mergeCells>
  <conditionalFormatting sqref="G87:I87 L87:P87">
    <cfRule type="cellIs" dxfId="455" priority="4" operator="lessThan">
      <formula>0</formula>
    </cfRule>
  </conditionalFormatting>
  <conditionalFormatting sqref="G87:I87 L87:M87">
    <cfRule type="cellIs" dxfId="454" priority="3" operator="lessThan">
      <formula>0</formula>
    </cfRule>
  </conditionalFormatting>
  <conditionalFormatting sqref="G87:I87">
    <cfRule type="cellIs" dxfId="453" priority="2" operator="lessThan">
      <formula>0</formula>
    </cfRule>
  </conditionalFormatting>
  <conditionalFormatting sqref="G87:I87">
    <cfRule type="cellIs" dxfId="452" priority="1" operator="lessThan">
      <formula>0</formula>
    </cfRule>
  </conditionalFormatting>
  <pageMargins left="0.39370078740157483" right="0.17" top="0.39370078740157483" bottom="0.39370078740157483" header="0.18" footer="0"/>
  <pageSetup paperSize="9" scale="63" fitToHeight="0" orientation="landscape" r:id="rId1"/>
  <headerFooter>
    <oddFooter>&amp;CStrana &amp;P z &amp;N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1:U88"/>
  <sheetViews>
    <sheetView showGridLines="0" view="pageBreakPreview" topLeftCell="A55" zoomScale="85" zoomScaleNormal="85" zoomScaleSheetLayoutView="85" workbookViewId="0">
      <selection activeCell="J76" sqref="J76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17" style="8" customWidth="1"/>
    <col min="12" max="12" width="19.5" style="8" customWidth="1"/>
    <col min="13" max="33" width="24.83203125" style="8" customWidth="1"/>
    <col min="34" max="16384" width="9.33203125" style="8"/>
  </cols>
  <sheetData>
    <row r="1" spans="2:19" ht="18.95" customHeight="1" x14ac:dyDescent="0.2">
      <c r="F1" s="11"/>
      <c r="G1" s="89"/>
      <c r="H1" s="88"/>
      <c r="I1" s="8"/>
      <c r="J1" s="9"/>
    </row>
    <row r="2" spans="2:19" s="88" customFormat="1" ht="18" customHeight="1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</row>
    <row r="3" spans="2:19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19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19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19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19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19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B5 - Stoka B5</v>
      </c>
      <c r="M8" s="150"/>
      <c r="O8" s="151"/>
    </row>
    <row r="9" spans="2:19" s="15" customFormat="1" ht="20.100000000000001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  <c r="Q9" s="87"/>
    </row>
    <row r="10" spans="2:19" s="15" customFormat="1" ht="24" customHeight="1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41"/>
      <c r="R10" s="189" t="s">
        <v>935</v>
      </c>
    </row>
    <row r="11" spans="2:19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19" s="121" customFormat="1" ht="22.9" customHeight="1" x14ac:dyDescent="0.25">
      <c r="B12" s="120"/>
      <c r="C12" s="152" t="s">
        <v>485</v>
      </c>
      <c r="D12" s="120"/>
      <c r="E12" s="120"/>
      <c r="F12" s="120"/>
      <c r="G12" s="120"/>
      <c r="H12" s="120"/>
      <c r="I12" s="153"/>
      <c r="J12" s="154">
        <f>+SUBTOTAL(9,J13:J84)</f>
        <v>2495950.1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19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+SUBTOTAL(9,J14:J84)</f>
        <v>2495950.1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19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+SUBTOTAL(9,J15:J36)</f>
        <v>1125646.9000000001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SUM(M15:M36)</f>
        <v>-7357.1240999999991</v>
      </c>
      <c r="N14" s="278" t="str">
        <f>IF(ISBLANK(H14),"",H14-K14)</f>
        <v/>
      </c>
      <c r="O14" s="272" t="str">
        <f>IF(ISBLANK(H14),"",J14-L14)</f>
        <v/>
      </c>
      <c r="P14" s="272">
        <f>SUM(P15:P36)</f>
        <v>1118289.7862999998</v>
      </c>
      <c r="Q14" s="218" t="s">
        <v>1216</v>
      </c>
    </row>
    <row r="15" spans="2:19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247.54</v>
      </c>
      <c r="I15" s="61">
        <v>40.770000000000003</v>
      </c>
      <c r="J15" s="60">
        <v>10092.200000000001</v>
      </c>
      <c r="K15" s="68">
        <f>ROUND(223.5/225*Q15-Q15,2)</f>
        <v>-1.71</v>
      </c>
      <c r="L15" s="69">
        <f>I15</f>
        <v>40.770000000000003</v>
      </c>
      <c r="M15" s="273">
        <f>K15*L15</f>
        <v>-69.716700000000003</v>
      </c>
      <c r="N15" s="71">
        <f>H15+K15</f>
        <v>245.82999999999998</v>
      </c>
      <c r="O15" s="72">
        <f>I15</f>
        <v>40.770000000000003</v>
      </c>
      <c r="P15" s="274">
        <f>N15*O15</f>
        <v>10022.489100000001</v>
      </c>
      <c r="Q15" s="291">
        <f>ROUND(225/216.62*H15,2)</f>
        <v>257.12</v>
      </c>
      <c r="S15" s="194"/>
    </row>
    <row r="16" spans="2:19" s="121" customFormat="1" ht="16.5" customHeight="1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472.58</v>
      </c>
      <c r="I16" s="61">
        <v>55.24</v>
      </c>
      <c r="J16" s="60">
        <v>26105.3</v>
      </c>
      <c r="K16" s="68">
        <v>0</v>
      </c>
      <c r="L16" s="69">
        <f t="shared" ref="L16:L78" si="0">I16</f>
        <v>55.24</v>
      </c>
      <c r="M16" s="273">
        <f t="shared" ref="M16:M78" si="1">K16*L16</f>
        <v>0</v>
      </c>
      <c r="N16" s="71">
        <f t="shared" ref="N16:N78" si="2">H16+K16</f>
        <v>472.58</v>
      </c>
      <c r="O16" s="72">
        <f t="shared" ref="O16:O78" si="3">I16</f>
        <v>55.24</v>
      </c>
      <c r="P16" s="274">
        <f t="shared" ref="P16:P78" si="4">N16*O16</f>
        <v>26105.319200000002</v>
      </c>
      <c r="Q16" s="291">
        <f t="shared" ref="Q16:Q79" si="5">ROUND(225/216.62*H16,2)</f>
        <v>490.86</v>
      </c>
      <c r="S16" s="194"/>
    </row>
    <row r="17" spans="2:20" s="121" customFormat="1" ht="22.5" customHeight="1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247.54</v>
      </c>
      <c r="I17" s="61">
        <v>151.25</v>
      </c>
      <c r="J17" s="60">
        <v>37440.400000000001</v>
      </c>
      <c r="K17" s="68">
        <v>0</v>
      </c>
      <c r="L17" s="69">
        <f t="shared" si="0"/>
        <v>151.25</v>
      </c>
      <c r="M17" s="273">
        <f t="shared" si="1"/>
        <v>0</v>
      </c>
      <c r="N17" s="71">
        <f t="shared" si="2"/>
        <v>247.54</v>
      </c>
      <c r="O17" s="72">
        <f t="shared" si="3"/>
        <v>151.25</v>
      </c>
      <c r="P17" s="274">
        <f t="shared" si="4"/>
        <v>37440.424999999996</v>
      </c>
      <c r="Q17" s="291">
        <f t="shared" si="5"/>
        <v>257.12</v>
      </c>
      <c r="R17" s="190" t="s">
        <v>942</v>
      </c>
      <c r="S17" s="200" t="s">
        <v>945</v>
      </c>
      <c r="T17" s="190" t="s">
        <v>964</v>
      </c>
    </row>
    <row r="18" spans="2:20" s="121" customFormat="1" ht="16.5" customHeight="1" x14ac:dyDescent="0.2">
      <c r="B18" s="120"/>
      <c r="C18" s="56" t="s">
        <v>105</v>
      </c>
      <c r="D18" s="56" t="s">
        <v>96</v>
      </c>
      <c r="E18" s="57" t="s">
        <v>142</v>
      </c>
      <c r="F18" s="58" t="s">
        <v>143</v>
      </c>
      <c r="G18" s="59" t="s">
        <v>133</v>
      </c>
      <c r="H18" s="60">
        <v>2.2000000000000002</v>
      </c>
      <c r="I18" s="61">
        <v>170.98</v>
      </c>
      <c r="J18" s="60">
        <v>376.2</v>
      </c>
      <c r="K18" s="68">
        <f t="shared" ref="K18:K39" si="6">ROUND(223.5/225*Q18-Q18,2)</f>
        <v>-0.02</v>
      </c>
      <c r="L18" s="69">
        <f t="shared" si="0"/>
        <v>170.98</v>
      </c>
      <c r="M18" s="273">
        <f t="shared" si="1"/>
        <v>-3.4196</v>
      </c>
      <c r="N18" s="71">
        <f t="shared" si="2"/>
        <v>2.1800000000000002</v>
      </c>
      <c r="O18" s="72">
        <f t="shared" si="3"/>
        <v>170.98</v>
      </c>
      <c r="P18" s="274">
        <f t="shared" si="4"/>
        <v>372.7364</v>
      </c>
      <c r="Q18" s="291">
        <f t="shared" si="5"/>
        <v>2.29</v>
      </c>
      <c r="S18" s="194"/>
    </row>
    <row r="19" spans="2:20" s="121" customFormat="1" ht="16.5" customHeight="1" x14ac:dyDescent="0.2">
      <c r="B19" s="120"/>
      <c r="C19" s="56" t="s">
        <v>109</v>
      </c>
      <c r="D19" s="56" t="s">
        <v>96</v>
      </c>
      <c r="E19" s="57" t="s">
        <v>145</v>
      </c>
      <c r="F19" s="58" t="s">
        <v>146</v>
      </c>
      <c r="G19" s="59" t="s">
        <v>133</v>
      </c>
      <c r="H19" s="60">
        <v>3.3</v>
      </c>
      <c r="I19" s="61">
        <v>147.30000000000001</v>
      </c>
      <c r="J19" s="60">
        <v>486.1</v>
      </c>
      <c r="K19" s="68">
        <f t="shared" si="6"/>
        <v>-0.02</v>
      </c>
      <c r="L19" s="69">
        <f t="shared" si="0"/>
        <v>147.30000000000001</v>
      </c>
      <c r="M19" s="273">
        <f t="shared" si="1"/>
        <v>-2.9460000000000002</v>
      </c>
      <c r="N19" s="71">
        <f t="shared" si="2"/>
        <v>3.28</v>
      </c>
      <c r="O19" s="72">
        <f t="shared" si="3"/>
        <v>147.30000000000001</v>
      </c>
      <c r="P19" s="274">
        <f t="shared" si="4"/>
        <v>483.14400000000001</v>
      </c>
      <c r="Q19" s="291">
        <f t="shared" si="5"/>
        <v>3.43</v>
      </c>
      <c r="S19" s="194"/>
    </row>
    <row r="20" spans="2:20" s="121" customFormat="1" ht="16.5" customHeight="1" x14ac:dyDescent="0.2">
      <c r="B20" s="120"/>
      <c r="C20" s="56" t="s">
        <v>112</v>
      </c>
      <c r="D20" s="56" t="s">
        <v>96</v>
      </c>
      <c r="E20" s="57" t="s">
        <v>155</v>
      </c>
      <c r="F20" s="58" t="s">
        <v>156</v>
      </c>
      <c r="G20" s="59" t="s">
        <v>150</v>
      </c>
      <c r="H20" s="60">
        <v>13.29</v>
      </c>
      <c r="I20" s="61">
        <v>257.77999999999997</v>
      </c>
      <c r="J20" s="60">
        <v>3425.9</v>
      </c>
      <c r="K20" s="68">
        <f t="shared" si="6"/>
        <v>-0.09</v>
      </c>
      <c r="L20" s="69">
        <f t="shared" si="0"/>
        <v>257.77999999999997</v>
      </c>
      <c r="M20" s="273">
        <f t="shared" si="1"/>
        <v>-23.200199999999995</v>
      </c>
      <c r="N20" s="71">
        <f t="shared" si="2"/>
        <v>13.2</v>
      </c>
      <c r="O20" s="72">
        <f t="shared" si="3"/>
        <v>257.77999999999997</v>
      </c>
      <c r="P20" s="274">
        <f t="shared" si="4"/>
        <v>3402.6959999999995</v>
      </c>
      <c r="Q20" s="291">
        <f t="shared" si="5"/>
        <v>13.8</v>
      </c>
      <c r="S20" s="194"/>
    </row>
    <row r="21" spans="2:20" s="121" customFormat="1" ht="16.5" customHeight="1" x14ac:dyDescent="0.2">
      <c r="B21" s="120"/>
      <c r="C21" s="56" t="s">
        <v>115</v>
      </c>
      <c r="D21" s="56" t="s">
        <v>96</v>
      </c>
      <c r="E21" s="57" t="s">
        <v>157</v>
      </c>
      <c r="F21" s="58" t="s">
        <v>158</v>
      </c>
      <c r="G21" s="59" t="s">
        <v>150</v>
      </c>
      <c r="H21" s="60">
        <v>236.81</v>
      </c>
      <c r="I21" s="61">
        <v>257.77999999999997</v>
      </c>
      <c r="J21" s="60">
        <v>61044.9</v>
      </c>
      <c r="K21" s="68">
        <f t="shared" si="6"/>
        <v>-1.64</v>
      </c>
      <c r="L21" s="69">
        <f t="shared" si="0"/>
        <v>257.77999999999997</v>
      </c>
      <c r="M21" s="273">
        <f t="shared" si="1"/>
        <v>-422.75919999999991</v>
      </c>
      <c r="N21" s="71">
        <f t="shared" si="2"/>
        <v>235.17000000000002</v>
      </c>
      <c r="O21" s="72">
        <f t="shared" si="3"/>
        <v>257.77999999999997</v>
      </c>
      <c r="P21" s="274">
        <f t="shared" si="4"/>
        <v>60622.122599999995</v>
      </c>
      <c r="Q21" s="291">
        <f t="shared" si="5"/>
        <v>245.97</v>
      </c>
      <c r="S21" s="194"/>
    </row>
    <row r="22" spans="2:20" s="121" customFormat="1" ht="16.5" customHeight="1" x14ac:dyDescent="0.2">
      <c r="B22" s="120"/>
      <c r="C22" s="56" t="s">
        <v>118</v>
      </c>
      <c r="D22" s="56" t="s">
        <v>96</v>
      </c>
      <c r="E22" s="57" t="s">
        <v>160</v>
      </c>
      <c r="F22" s="58" t="s">
        <v>161</v>
      </c>
      <c r="G22" s="59" t="s">
        <v>150</v>
      </c>
      <c r="H22" s="60">
        <v>71.040000000000006</v>
      </c>
      <c r="I22" s="61">
        <v>13.15</v>
      </c>
      <c r="J22" s="60">
        <v>934.2</v>
      </c>
      <c r="K22" s="68">
        <f t="shared" si="6"/>
        <v>-0.49</v>
      </c>
      <c r="L22" s="69">
        <f t="shared" si="0"/>
        <v>13.15</v>
      </c>
      <c r="M22" s="273">
        <f t="shared" si="1"/>
        <v>-6.4435000000000002</v>
      </c>
      <c r="N22" s="71">
        <f t="shared" si="2"/>
        <v>70.550000000000011</v>
      </c>
      <c r="O22" s="72">
        <f t="shared" si="3"/>
        <v>13.15</v>
      </c>
      <c r="P22" s="274">
        <f t="shared" si="4"/>
        <v>927.73250000000019</v>
      </c>
      <c r="Q22" s="291">
        <f t="shared" si="5"/>
        <v>73.790000000000006</v>
      </c>
      <c r="S22" s="194"/>
    </row>
    <row r="23" spans="2:20" s="121" customFormat="1" ht="16.5" customHeight="1" x14ac:dyDescent="0.2">
      <c r="B23" s="120"/>
      <c r="C23" s="56" t="s">
        <v>121</v>
      </c>
      <c r="D23" s="56" t="s">
        <v>96</v>
      </c>
      <c r="E23" s="57" t="s">
        <v>163</v>
      </c>
      <c r="F23" s="58" t="s">
        <v>164</v>
      </c>
      <c r="G23" s="59" t="s">
        <v>150</v>
      </c>
      <c r="H23" s="60">
        <v>125.07</v>
      </c>
      <c r="I23" s="61">
        <v>315.64999999999998</v>
      </c>
      <c r="J23" s="60">
        <v>39478.300000000003</v>
      </c>
      <c r="K23" s="68">
        <f t="shared" si="6"/>
        <v>-0.87</v>
      </c>
      <c r="L23" s="69">
        <f t="shared" si="0"/>
        <v>315.64999999999998</v>
      </c>
      <c r="M23" s="273">
        <f t="shared" si="1"/>
        <v>-274.6155</v>
      </c>
      <c r="N23" s="71">
        <f t="shared" si="2"/>
        <v>124.19999999999999</v>
      </c>
      <c r="O23" s="72">
        <f t="shared" si="3"/>
        <v>315.64999999999998</v>
      </c>
      <c r="P23" s="274">
        <f t="shared" si="4"/>
        <v>39203.729999999996</v>
      </c>
      <c r="Q23" s="291">
        <f t="shared" si="5"/>
        <v>129.91</v>
      </c>
      <c r="S23" s="194"/>
    </row>
    <row r="24" spans="2:20" s="121" customFormat="1" ht="16.5" customHeight="1" x14ac:dyDescent="0.2">
      <c r="B24" s="120"/>
      <c r="C24" s="56" t="s">
        <v>124</v>
      </c>
      <c r="D24" s="56" t="s">
        <v>96</v>
      </c>
      <c r="E24" s="57" t="s">
        <v>166</v>
      </c>
      <c r="F24" s="58" t="s">
        <v>167</v>
      </c>
      <c r="G24" s="59" t="s">
        <v>150</v>
      </c>
      <c r="H24" s="60">
        <v>37.520000000000003</v>
      </c>
      <c r="I24" s="61">
        <v>15.78</v>
      </c>
      <c r="J24" s="60">
        <v>592.1</v>
      </c>
      <c r="K24" s="68">
        <f t="shared" si="6"/>
        <v>-0.26</v>
      </c>
      <c r="L24" s="69">
        <f t="shared" si="0"/>
        <v>15.78</v>
      </c>
      <c r="M24" s="273">
        <f t="shared" si="1"/>
        <v>-4.1028000000000002</v>
      </c>
      <c r="N24" s="71">
        <f t="shared" si="2"/>
        <v>37.260000000000005</v>
      </c>
      <c r="O24" s="72">
        <f t="shared" si="3"/>
        <v>15.78</v>
      </c>
      <c r="P24" s="274">
        <f t="shared" si="4"/>
        <v>587.96280000000002</v>
      </c>
      <c r="Q24" s="291">
        <f t="shared" si="5"/>
        <v>38.97</v>
      </c>
      <c r="S24" s="194"/>
    </row>
    <row r="25" spans="2:20" s="121" customFormat="1" ht="19.899999999999999" customHeight="1" x14ac:dyDescent="0.2">
      <c r="B25" s="120"/>
      <c r="C25" s="56" t="s">
        <v>127</v>
      </c>
      <c r="D25" s="56" t="s">
        <v>96</v>
      </c>
      <c r="E25" s="57" t="s">
        <v>169</v>
      </c>
      <c r="F25" s="58" t="s">
        <v>170</v>
      </c>
      <c r="G25" s="59" t="s">
        <v>150</v>
      </c>
      <c r="H25" s="60">
        <v>112.38</v>
      </c>
      <c r="I25" s="61">
        <v>837.79</v>
      </c>
      <c r="J25" s="60">
        <v>94150.8</v>
      </c>
      <c r="K25" s="68">
        <f t="shared" si="6"/>
        <v>-0.78</v>
      </c>
      <c r="L25" s="69">
        <f t="shared" si="0"/>
        <v>837.79</v>
      </c>
      <c r="M25" s="273">
        <f t="shared" si="1"/>
        <v>-653.47619999999995</v>
      </c>
      <c r="N25" s="71">
        <f t="shared" si="2"/>
        <v>111.6</v>
      </c>
      <c r="O25" s="72">
        <f t="shared" si="3"/>
        <v>837.79</v>
      </c>
      <c r="P25" s="274">
        <f t="shared" si="4"/>
        <v>93497.363999999987</v>
      </c>
      <c r="Q25" s="291">
        <f t="shared" si="5"/>
        <v>116.73</v>
      </c>
      <c r="S25" s="194"/>
    </row>
    <row r="26" spans="2:20" s="121" customFormat="1" ht="21" customHeight="1" x14ac:dyDescent="0.2">
      <c r="B26" s="120"/>
      <c r="C26" s="56" t="s">
        <v>130</v>
      </c>
      <c r="D26" s="56" t="s">
        <v>96</v>
      </c>
      <c r="E26" s="57" t="s">
        <v>172</v>
      </c>
      <c r="F26" s="58" t="s">
        <v>173</v>
      </c>
      <c r="G26" s="59" t="s">
        <v>150</v>
      </c>
      <c r="H26" s="60">
        <v>160.63</v>
      </c>
      <c r="I26" s="61">
        <v>1116.6199999999999</v>
      </c>
      <c r="J26" s="60">
        <v>179362.7</v>
      </c>
      <c r="K26" s="68">
        <f t="shared" si="6"/>
        <v>-1.1100000000000001</v>
      </c>
      <c r="L26" s="69">
        <f t="shared" si="0"/>
        <v>1116.6199999999999</v>
      </c>
      <c r="M26" s="273">
        <f t="shared" si="1"/>
        <v>-1239.4482</v>
      </c>
      <c r="N26" s="71">
        <f t="shared" si="2"/>
        <v>159.51999999999998</v>
      </c>
      <c r="O26" s="72">
        <f t="shared" si="3"/>
        <v>1116.6199999999999</v>
      </c>
      <c r="P26" s="274">
        <f t="shared" si="4"/>
        <v>178123.22239999997</v>
      </c>
      <c r="Q26" s="291">
        <f t="shared" si="5"/>
        <v>166.84</v>
      </c>
      <c r="S26" s="194"/>
    </row>
    <row r="27" spans="2:20" s="121" customFormat="1" ht="16.5" customHeight="1" x14ac:dyDescent="0.2">
      <c r="B27" s="120"/>
      <c r="C27" s="56" t="s">
        <v>134</v>
      </c>
      <c r="D27" s="56" t="s">
        <v>96</v>
      </c>
      <c r="E27" s="57" t="s">
        <v>175</v>
      </c>
      <c r="F27" s="58" t="s">
        <v>176</v>
      </c>
      <c r="G27" s="59" t="s">
        <v>108</v>
      </c>
      <c r="H27" s="60">
        <v>1252.8499999999999</v>
      </c>
      <c r="I27" s="61">
        <v>99.96</v>
      </c>
      <c r="J27" s="60">
        <v>125234.9</v>
      </c>
      <c r="K27" s="68">
        <f t="shared" si="6"/>
        <v>-8.68</v>
      </c>
      <c r="L27" s="69">
        <f t="shared" si="0"/>
        <v>99.96</v>
      </c>
      <c r="M27" s="273">
        <f t="shared" si="1"/>
        <v>-867.65279999999996</v>
      </c>
      <c r="N27" s="71">
        <f t="shared" si="2"/>
        <v>1244.1699999999998</v>
      </c>
      <c r="O27" s="72">
        <f t="shared" si="3"/>
        <v>99.96</v>
      </c>
      <c r="P27" s="274">
        <f t="shared" si="4"/>
        <v>124367.23319999997</v>
      </c>
      <c r="Q27" s="291">
        <f t="shared" si="5"/>
        <v>1301.32</v>
      </c>
      <c r="S27" s="194"/>
    </row>
    <row r="28" spans="2:20" s="121" customFormat="1" ht="16.5" customHeight="1" x14ac:dyDescent="0.2">
      <c r="B28" s="120"/>
      <c r="C28" s="56" t="s">
        <v>2</v>
      </c>
      <c r="D28" s="56" t="s">
        <v>96</v>
      </c>
      <c r="E28" s="57" t="s">
        <v>181</v>
      </c>
      <c r="F28" s="58" t="s">
        <v>182</v>
      </c>
      <c r="G28" s="59" t="s">
        <v>108</v>
      </c>
      <c r="H28" s="60">
        <v>1252.8499999999999</v>
      </c>
      <c r="I28" s="61">
        <v>149.94</v>
      </c>
      <c r="J28" s="60">
        <v>187852.3</v>
      </c>
      <c r="K28" s="68">
        <f t="shared" si="6"/>
        <v>-8.68</v>
      </c>
      <c r="L28" s="69">
        <f t="shared" si="0"/>
        <v>149.94</v>
      </c>
      <c r="M28" s="273">
        <f t="shared" si="1"/>
        <v>-1301.4792</v>
      </c>
      <c r="N28" s="71">
        <f t="shared" si="2"/>
        <v>1244.1699999999998</v>
      </c>
      <c r="O28" s="72">
        <f t="shared" si="3"/>
        <v>149.94</v>
      </c>
      <c r="P28" s="274">
        <f t="shared" si="4"/>
        <v>186550.84979999997</v>
      </c>
      <c r="Q28" s="291">
        <f t="shared" si="5"/>
        <v>1301.32</v>
      </c>
      <c r="S28" s="194"/>
    </row>
    <row r="29" spans="2:20" s="121" customFormat="1" ht="16.5" customHeight="1" x14ac:dyDescent="0.2">
      <c r="B29" s="120"/>
      <c r="C29" s="56" t="s">
        <v>141</v>
      </c>
      <c r="D29" s="56" t="s">
        <v>96</v>
      </c>
      <c r="E29" s="57" t="s">
        <v>187</v>
      </c>
      <c r="F29" s="58" t="s">
        <v>188</v>
      </c>
      <c r="G29" s="59" t="s">
        <v>150</v>
      </c>
      <c r="H29" s="60">
        <v>1073.77</v>
      </c>
      <c r="I29" s="61">
        <v>98.51</v>
      </c>
      <c r="J29" s="60">
        <v>105777.1</v>
      </c>
      <c r="K29" s="68">
        <f t="shared" si="6"/>
        <v>-7.44</v>
      </c>
      <c r="L29" s="69">
        <f t="shared" si="0"/>
        <v>98.51</v>
      </c>
      <c r="M29" s="273">
        <f t="shared" si="1"/>
        <v>-732.91440000000011</v>
      </c>
      <c r="N29" s="71">
        <f t="shared" si="2"/>
        <v>1066.33</v>
      </c>
      <c r="O29" s="72">
        <f t="shared" si="3"/>
        <v>98.51</v>
      </c>
      <c r="P29" s="274">
        <f t="shared" si="4"/>
        <v>105044.1683</v>
      </c>
      <c r="Q29" s="291">
        <f t="shared" si="5"/>
        <v>1115.31</v>
      </c>
      <c r="S29" s="194"/>
    </row>
    <row r="30" spans="2:20" s="121" customFormat="1" ht="16.5" customHeight="1" x14ac:dyDescent="0.2">
      <c r="B30" s="120"/>
      <c r="C30" s="56" t="s">
        <v>144</v>
      </c>
      <c r="D30" s="56" t="s">
        <v>96</v>
      </c>
      <c r="E30" s="57" t="s">
        <v>190</v>
      </c>
      <c r="F30" s="58" t="s">
        <v>191</v>
      </c>
      <c r="G30" s="59" t="s">
        <v>150</v>
      </c>
      <c r="H30" s="60">
        <v>194.72</v>
      </c>
      <c r="I30" s="61">
        <v>247.39</v>
      </c>
      <c r="J30" s="60">
        <v>48171.8</v>
      </c>
      <c r="K30" s="68">
        <f t="shared" si="6"/>
        <v>-1.35</v>
      </c>
      <c r="L30" s="69">
        <f t="shared" si="0"/>
        <v>247.39</v>
      </c>
      <c r="M30" s="273">
        <f t="shared" si="1"/>
        <v>-333.97649999999999</v>
      </c>
      <c r="N30" s="71">
        <f t="shared" si="2"/>
        <v>193.37</v>
      </c>
      <c r="O30" s="72">
        <f t="shared" si="3"/>
        <v>247.39</v>
      </c>
      <c r="P30" s="274">
        <f t="shared" si="4"/>
        <v>47837.804299999996</v>
      </c>
      <c r="Q30" s="291">
        <f t="shared" si="5"/>
        <v>202.25</v>
      </c>
      <c r="S30" s="194"/>
    </row>
    <row r="31" spans="2:20" s="121" customFormat="1" ht="16.5" customHeight="1" x14ac:dyDescent="0.2">
      <c r="B31" s="120"/>
      <c r="C31" s="56" t="s">
        <v>147</v>
      </c>
      <c r="D31" s="56" t="s">
        <v>96</v>
      </c>
      <c r="E31" s="57" t="s">
        <v>193</v>
      </c>
      <c r="F31" s="58" t="s">
        <v>194</v>
      </c>
      <c r="G31" s="59" t="s">
        <v>150</v>
      </c>
      <c r="H31" s="60">
        <v>194.72</v>
      </c>
      <c r="I31" s="61">
        <v>44.72</v>
      </c>
      <c r="J31" s="60">
        <v>8707.9</v>
      </c>
      <c r="K31" s="68">
        <f t="shared" si="6"/>
        <v>-1.35</v>
      </c>
      <c r="L31" s="69">
        <f t="shared" si="0"/>
        <v>44.72</v>
      </c>
      <c r="M31" s="273">
        <f t="shared" si="1"/>
        <v>-60.372</v>
      </c>
      <c r="N31" s="71">
        <f t="shared" si="2"/>
        <v>193.37</v>
      </c>
      <c r="O31" s="72">
        <f t="shared" si="3"/>
        <v>44.72</v>
      </c>
      <c r="P31" s="274">
        <f t="shared" si="4"/>
        <v>8647.5064000000002</v>
      </c>
      <c r="Q31" s="291">
        <f t="shared" si="5"/>
        <v>202.25</v>
      </c>
      <c r="S31" s="194"/>
    </row>
    <row r="32" spans="2:20" s="121" customFormat="1" ht="16.5" customHeight="1" x14ac:dyDescent="0.2">
      <c r="B32" s="120"/>
      <c r="C32" s="56" t="s">
        <v>151</v>
      </c>
      <c r="D32" s="56" t="s">
        <v>96</v>
      </c>
      <c r="E32" s="57" t="s">
        <v>196</v>
      </c>
      <c r="F32" s="58" t="s">
        <v>197</v>
      </c>
      <c r="G32" s="59" t="s">
        <v>150</v>
      </c>
      <c r="H32" s="60">
        <v>194.72</v>
      </c>
      <c r="I32" s="61">
        <v>11.84</v>
      </c>
      <c r="J32" s="60">
        <v>2305.5</v>
      </c>
      <c r="K32" s="68">
        <f t="shared" si="6"/>
        <v>-1.35</v>
      </c>
      <c r="L32" s="69">
        <f t="shared" si="0"/>
        <v>11.84</v>
      </c>
      <c r="M32" s="273">
        <f t="shared" si="1"/>
        <v>-15.984</v>
      </c>
      <c r="N32" s="71">
        <f t="shared" si="2"/>
        <v>193.37</v>
      </c>
      <c r="O32" s="72">
        <f t="shared" si="3"/>
        <v>11.84</v>
      </c>
      <c r="P32" s="274">
        <f t="shared" si="4"/>
        <v>2289.5007999999998</v>
      </c>
      <c r="Q32" s="291">
        <f t="shared" si="5"/>
        <v>202.25</v>
      </c>
      <c r="S32" s="194"/>
    </row>
    <row r="33" spans="2:21" s="121" customFormat="1" ht="16.5" customHeight="1" x14ac:dyDescent="0.2">
      <c r="B33" s="120"/>
      <c r="C33" s="56" t="s">
        <v>154</v>
      </c>
      <c r="D33" s="56" t="s">
        <v>96</v>
      </c>
      <c r="E33" s="57" t="s">
        <v>199</v>
      </c>
      <c r="F33" s="58" t="s">
        <v>200</v>
      </c>
      <c r="G33" s="59" t="s">
        <v>201</v>
      </c>
      <c r="H33" s="60">
        <v>389.44</v>
      </c>
      <c r="I33" s="61">
        <v>116</v>
      </c>
      <c r="J33" s="60">
        <v>45175</v>
      </c>
      <c r="K33" s="68">
        <f t="shared" si="6"/>
        <v>-2.7</v>
      </c>
      <c r="L33" s="69">
        <f t="shared" si="0"/>
        <v>116</v>
      </c>
      <c r="M33" s="273">
        <f t="shared" si="1"/>
        <v>-313.20000000000005</v>
      </c>
      <c r="N33" s="71">
        <f t="shared" si="2"/>
        <v>386.74</v>
      </c>
      <c r="O33" s="72">
        <f t="shared" si="3"/>
        <v>116</v>
      </c>
      <c r="P33" s="274">
        <f t="shared" si="4"/>
        <v>44861.840000000004</v>
      </c>
      <c r="Q33" s="291">
        <f t="shared" si="5"/>
        <v>404.51</v>
      </c>
      <c r="S33" s="194"/>
    </row>
    <row r="34" spans="2:21" s="121" customFormat="1" ht="16.5" customHeight="1" x14ac:dyDescent="0.2">
      <c r="B34" s="120"/>
      <c r="C34" s="56" t="s">
        <v>1</v>
      </c>
      <c r="D34" s="56" t="s">
        <v>96</v>
      </c>
      <c r="E34" s="57" t="s">
        <v>203</v>
      </c>
      <c r="F34" s="58" t="s">
        <v>204</v>
      </c>
      <c r="G34" s="59" t="s">
        <v>150</v>
      </c>
      <c r="H34" s="60">
        <v>438.88</v>
      </c>
      <c r="I34" s="61">
        <v>143.36000000000001</v>
      </c>
      <c r="J34" s="60">
        <v>62917.8</v>
      </c>
      <c r="K34" s="68">
        <f t="shared" si="6"/>
        <v>-3.04</v>
      </c>
      <c r="L34" s="69">
        <f t="shared" si="0"/>
        <v>143.36000000000001</v>
      </c>
      <c r="M34" s="273">
        <f t="shared" si="1"/>
        <v>-435.81440000000003</v>
      </c>
      <c r="N34" s="71">
        <f t="shared" si="2"/>
        <v>435.84</v>
      </c>
      <c r="O34" s="72">
        <f t="shared" si="3"/>
        <v>143.36000000000001</v>
      </c>
      <c r="P34" s="274">
        <f t="shared" si="4"/>
        <v>62482.022400000002</v>
      </c>
      <c r="Q34" s="291">
        <f t="shared" si="5"/>
        <v>455.86</v>
      </c>
      <c r="S34" s="194"/>
    </row>
    <row r="35" spans="2:21" s="121" customFormat="1" ht="16.5" customHeight="1" x14ac:dyDescent="0.2">
      <c r="B35" s="120"/>
      <c r="C35" s="56" t="s">
        <v>159</v>
      </c>
      <c r="D35" s="56" t="s">
        <v>96</v>
      </c>
      <c r="E35" s="57" t="s">
        <v>206</v>
      </c>
      <c r="F35" s="58" t="s">
        <v>207</v>
      </c>
      <c r="G35" s="59" t="s">
        <v>150</v>
      </c>
      <c r="H35" s="60">
        <v>129.6</v>
      </c>
      <c r="I35" s="61">
        <v>318.27999999999997</v>
      </c>
      <c r="J35" s="60">
        <v>41249.1</v>
      </c>
      <c r="K35" s="68">
        <f t="shared" si="6"/>
        <v>-0.9</v>
      </c>
      <c r="L35" s="69">
        <f t="shared" si="0"/>
        <v>318.27999999999997</v>
      </c>
      <c r="M35" s="273">
        <f t="shared" si="1"/>
        <v>-286.452</v>
      </c>
      <c r="N35" s="71">
        <f t="shared" si="2"/>
        <v>128.69999999999999</v>
      </c>
      <c r="O35" s="72">
        <f t="shared" si="3"/>
        <v>318.27999999999997</v>
      </c>
      <c r="P35" s="274">
        <f t="shared" si="4"/>
        <v>40962.635999999991</v>
      </c>
      <c r="Q35" s="291">
        <f t="shared" si="5"/>
        <v>134.61000000000001</v>
      </c>
      <c r="S35" s="194"/>
    </row>
    <row r="36" spans="2:21" s="121" customFormat="1" ht="16.5" customHeight="1" x14ac:dyDescent="0.2">
      <c r="B36" s="120"/>
      <c r="C36" s="73" t="s">
        <v>162</v>
      </c>
      <c r="D36" s="73" t="s">
        <v>209</v>
      </c>
      <c r="E36" s="74" t="s">
        <v>210</v>
      </c>
      <c r="F36" s="75" t="s">
        <v>211</v>
      </c>
      <c r="G36" s="76" t="s">
        <v>201</v>
      </c>
      <c r="H36" s="77">
        <v>259.2</v>
      </c>
      <c r="I36" s="78">
        <v>172.71</v>
      </c>
      <c r="J36" s="77">
        <v>44766.400000000001</v>
      </c>
      <c r="K36" s="68">
        <f t="shared" si="6"/>
        <v>-1.79</v>
      </c>
      <c r="L36" s="69">
        <f t="shared" si="0"/>
        <v>172.71</v>
      </c>
      <c r="M36" s="273">
        <f t="shared" si="1"/>
        <v>-309.15090000000004</v>
      </c>
      <c r="N36" s="71">
        <f t="shared" si="2"/>
        <v>257.40999999999997</v>
      </c>
      <c r="O36" s="72">
        <f t="shared" si="3"/>
        <v>172.71</v>
      </c>
      <c r="P36" s="274">
        <f t="shared" si="4"/>
        <v>44457.2811</v>
      </c>
      <c r="Q36" s="291">
        <f t="shared" si="5"/>
        <v>269.23</v>
      </c>
      <c r="S36" s="194"/>
    </row>
    <row r="37" spans="2:21" s="170" customFormat="1" ht="22.9" customHeight="1" x14ac:dyDescent="0.2">
      <c r="B37" s="165"/>
      <c r="C37" s="252"/>
      <c r="D37" s="253" t="s">
        <v>4</v>
      </c>
      <c r="E37" s="254" t="s">
        <v>13</v>
      </c>
      <c r="F37" s="254" t="s">
        <v>222</v>
      </c>
      <c r="G37" s="252"/>
      <c r="H37" s="252"/>
      <c r="I37" s="255"/>
      <c r="J37" s="256">
        <f>+SUBTOTAL(9,J38:J39)</f>
        <v>8547.9</v>
      </c>
      <c r="K37" s="261"/>
      <c r="L37" s="262"/>
      <c r="M37" s="279">
        <f>SUM(M38:M39)</f>
        <v>-59.190000000000012</v>
      </c>
      <c r="N37" s="280"/>
      <c r="O37" s="262"/>
      <c r="P37" s="279">
        <f>SUM(P38:P39)</f>
        <v>8488.6352000000006</v>
      </c>
      <c r="Q37" s="291">
        <f t="shared" si="5"/>
        <v>0</v>
      </c>
      <c r="R37" s="121"/>
    </row>
    <row r="38" spans="2:21" s="121" customFormat="1" ht="16.5" customHeight="1" x14ac:dyDescent="0.2">
      <c r="B38" s="120"/>
      <c r="C38" s="56" t="s">
        <v>165</v>
      </c>
      <c r="D38" s="56" t="s">
        <v>96</v>
      </c>
      <c r="E38" s="57" t="s">
        <v>224</v>
      </c>
      <c r="F38" s="58" t="s">
        <v>225</v>
      </c>
      <c r="G38" s="59" t="s">
        <v>133</v>
      </c>
      <c r="H38" s="60">
        <v>216.62</v>
      </c>
      <c r="I38" s="61">
        <v>32.880000000000003</v>
      </c>
      <c r="J38" s="60">
        <v>7122.5</v>
      </c>
      <c r="K38" s="68">
        <f t="shared" si="6"/>
        <v>-1.5</v>
      </c>
      <c r="L38" s="69">
        <f t="shared" si="0"/>
        <v>32.880000000000003</v>
      </c>
      <c r="M38" s="273">
        <f t="shared" si="1"/>
        <v>-49.320000000000007</v>
      </c>
      <c r="N38" s="71">
        <f t="shared" si="2"/>
        <v>215.12</v>
      </c>
      <c r="O38" s="72">
        <f t="shared" si="3"/>
        <v>32.880000000000003</v>
      </c>
      <c r="P38" s="274">
        <f t="shared" si="4"/>
        <v>7073.1456000000007</v>
      </c>
      <c r="Q38" s="291">
        <f t="shared" si="5"/>
        <v>225</v>
      </c>
    </row>
    <row r="39" spans="2:21" s="121" customFormat="1" ht="16.5" customHeight="1" x14ac:dyDescent="0.2">
      <c r="B39" s="120"/>
      <c r="C39" s="56" t="s">
        <v>168</v>
      </c>
      <c r="D39" s="56" t="s">
        <v>96</v>
      </c>
      <c r="E39" s="57" t="s">
        <v>227</v>
      </c>
      <c r="F39" s="58" t="s">
        <v>228</v>
      </c>
      <c r="G39" s="59" t="s">
        <v>133</v>
      </c>
      <c r="H39" s="60">
        <v>216.62</v>
      </c>
      <c r="I39" s="61">
        <v>6.58</v>
      </c>
      <c r="J39" s="60">
        <v>1425.4</v>
      </c>
      <c r="K39" s="68">
        <f t="shared" si="6"/>
        <v>-1.5</v>
      </c>
      <c r="L39" s="69">
        <f t="shared" si="0"/>
        <v>6.58</v>
      </c>
      <c r="M39" s="273">
        <f t="shared" si="1"/>
        <v>-9.870000000000001</v>
      </c>
      <c r="N39" s="71">
        <f t="shared" si="2"/>
        <v>215.12</v>
      </c>
      <c r="O39" s="72">
        <f t="shared" si="3"/>
        <v>6.58</v>
      </c>
      <c r="P39" s="274">
        <f t="shared" si="4"/>
        <v>1415.4896000000001</v>
      </c>
      <c r="Q39" s="291">
        <f t="shared" si="5"/>
        <v>225</v>
      </c>
    </row>
    <row r="40" spans="2:21" s="170" customFormat="1" ht="22.9" customHeight="1" x14ac:dyDescent="0.2">
      <c r="B40" s="165"/>
      <c r="C40" s="252"/>
      <c r="D40" s="253" t="s">
        <v>4</v>
      </c>
      <c r="E40" s="254" t="s">
        <v>100</v>
      </c>
      <c r="F40" s="254" t="s">
        <v>229</v>
      </c>
      <c r="G40" s="252"/>
      <c r="H40" s="252"/>
      <c r="I40" s="255"/>
      <c r="J40" s="256">
        <f>+SUBTOTAL(9,J41:J48)</f>
        <v>105836.90000000001</v>
      </c>
      <c r="K40" s="261"/>
      <c r="L40" s="262"/>
      <c r="M40" s="279">
        <f>SUM(M41:M48)</f>
        <v>-711.59460000000001</v>
      </c>
      <c r="N40" s="280"/>
      <c r="O40" s="262"/>
      <c r="P40" s="279">
        <f>SUM(P41:P48)</f>
        <v>105125.2546</v>
      </c>
      <c r="Q40" s="291">
        <f t="shared" si="5"/>
        <v>0</v>
      </c>
      <c r="R40" s="121"/>
    </row>
    <row r="41" spans="2:21" s="121" customFormat="1" ht="16.5" customHeight="1" x14ac:dyDescent="0.2">
      <c r="B41" s="120"/>
      <c r="C41" s="56" t="s">
        <v>171</v>
      </c>
      <c r="D41" s="56" t="s">
        <v>96</v>
      </c>
      <c r="E41" s="57" t="s">
        <v>231</v>
      </c>
      <c r="F41" s="58" t="s">
        <v>232</v>
      </c>
      <c r="G41" s="59" t="s">
        <v>99</v>
      </c>
      <c r="H41" s="60">
        <v>5</v>
      </c>
      <c r="I41" s="61">
        <v>122.32</v>
      </c>
      <c r="J41" s="60">
        <v>611.6</v>
      </c>
      <c r="K41" s="68">
        <v>0</v>
      </c>
      <c r="L41" s="69">
        <f t="shared" si="0"/>
        <v>122.32</v>
      </c>
      <c r="M41" s="273">
        <f t="shared" si="1"/>
        <v>0</v>
      </c>
      <c r="N41" s="71">
        <f t="shared" si="2"/>
        <v>5</v>
      </c>
      <c r="O41" s="72">
        <f t="shared" si="3"/>
        <v>122.32</v>
      </c>
      <c r="P41" s="274">
        <f t="shared" si="4"/>
        <v>611.59999999999991</v>
      </c>
      <c r="Q41" s="291">
        <f t="shared" si="5"/>
        <v>5.19</v>
      </c>
    </row>
    <row r="42" spans="2:21" s="121" customFormat="1" ht="16.5" customHeight="1" x14ac:dyDescent="0.2">
      <c r="B42" s="120"/>
      <c r="C42" s="73" t="s">
        <v>174</v>
      </c>
      <c r="D42" s="73" t="s">
        <v>209</v>
      </c>
      <c r="E42" s="74" t="s">
        <v>234</v>
      </c>
      <c r="F42" s="75" t="s">
        <v>235</v>
      </c>
      <c r="G42" s="76" t="s">
        <v>99</v>
      </c>
      <c r="H42" s="77">
        <v>1</v>
      </c>
      <c r="I42" s="78">
        <v>345.9</v>
      </c>
      <c r="J42" s="77">
        <v>345.9</v>
      </c>
      <c r="K42" s="68">
        <v>0</v>
      </c>
      <c r="L42" s="69">
        <f t="shared" si="0"/>
        <v>345.9</v>
      </c>
      <c r="M42" s="273">
        <f t="shared" si="1"/>
        <v>0</v>
      </c>
      <c r="N42" s="71">
        <f t="shared" si="2"/>
        <v>1</v>
      </c>
      <c r="O42" s="72">
        <f t="shared" si="3"/>
        <v>345.9</v>
      </c>
      <c r="P42" s="274">
        <f t="shared" si="4"/>
        <v>345.9</v>
      </c>
      <c r="Q42" s="291">
        <f t="shared" si="5"/>
        <v>1.04</v>
      </c>
    </row>
    <row r="43" spans="2:21" s="121" customFormat="1" ht="16.5" customHeight="1" x14ac:dyDescent="0.2">
      <c r="B43" s="120"/>
      <c r="C43" s="73" t="s">
        <v>177</v>
      </c>
      <c r="D43" s="73" t="s">
        <v>209</v>
      </c>
      <c r="E43" s="74" t="s">
        <v>240</v>
      </c>
      <c r="F43" s="75" t="s">
        <v>241</v>
      </c>
      <c r="G43" s="76" t="s">
        <v>99</v>
      </c>
      <c r="H43" s="77">
        <v>3</v>
      </c>
      <c r="I43" s="78">
        <v>270.94</v>
      </c>
      <c r="J43" s="77">
        <v>812.8</v>
      </c>
      <c r="K43" s="68">
        <v>0</v>
      </c>
      <c r="L43" s="69">
        <f t="shared" si="0"/>
        <v>270.94</v>
      </c>
      <c r="M43" s="273">
        <f t="shared" si="1"/>
        <v>0</v>
      </c>
      <c r="N43" s="71">
        <f t="shared" si="2"/>
        <v>3</v>
      </c>
      <c r="O43" s="72">
        <f t="shared" si="3"/>
        <v>270.94</v>
      </c>
      <c r="P43" s="274">
        <f t="shared" si="4"/>
        <v>812.81999999999994</v>
      </c>
      <c r="Q43" s="291">
        <f t="shared" si="5"/>
        <v>3.12</v>
      </c>
    </row>
    <row r="44" spans="2:21" s="121" customFormat="1" ht="16.5" customHeight="1" x14ac:dyDescent="0.2">
      <c r="B44" s="120"/>
      <c r="C44" s="73" t="s">
        <v>180</v>
      </c>
      <c r="D44" s="73" t="s">
        <v>209</v>
      </c>
      <c r="E44" s="74" t="s">
        <v>243</v>
      </c>
      <c r="F44" s="75" t="s">
        <v>244</v>
      </c>
      <c r="G44" s="76" t="s">
        <v>99</v>
      </c>
      <c r="H44" s="77">
        <v>1</v>
      </c>
      <c r="I44" s="78">
        <v>220.96</v>
      </c>
      <c r="J44" s="77">
        <v>221</v>
      </c>
      <c r="K44" s="68">
        <v>0</v>
      </c>
      <c r="L44" s="69">
        <f t="shared" si="0"/>
        <v>220.96</v>
      </c>
      <c r="M44" s="273">
        <f t="shared" si="1"/>
        <v>0</v>
      </c>
      <c r="N44" s="71">
        <f t="shared" si="2"/>
        <v>1</v>
      </c>
      <c r="O44" s="72">
        <f t="shared" si="3"/>
        <v>220.96</v>
      </c>
      <c r="P44" s="274">
        <f t="shared" si="4"/>
        <v>220.96</v>
      </c>
      <c r="Q44" s="291">
        <f t="shared" si="5"/>
        <v>1.04</v>
      </c>
    </row>
    <row r="45" spans="2:21" s="121" customFormat="1" ht="16.5" customHeight="1" x14ac:dyDescent="0.2">
      <c r="B45" s="120"/>
      <c r="C45" s="56" t="s">
        <v>183</v>
      </c>
      <c r="D45" s="56" t="s">
        <v>96</v>
      </c>
      <c r="E45" s="57" t="s">
        <v>246</v>
      </c>
      <c r="F45" s="58" t="s">
        <v>247</v>
      </c>
      <c r="G45" s="59" t="s">
        <v>99</v>
      </c>
      <c r="H45" s="60">
        <v>5</v>
      </c>
      <c r="I45" s="61">
        <v>152.57</v>
      </c>
      <c r="J45" s="60">
        <v>762.9</v>
      </c>
      <c r="K45" s="68">
        <v>0</v>
      </c>
      <c r="L45" s="69">
        <f t="shared" si="0"/>
        <v>152.57</v>
      </c>
      <c r="M45" s="273">
        <f t="shared" si="1"/>
        <v>0</v>
      </c>
      <c r="N45" s="71">
        <f t="shared" si="2"/>
        <v>5</v>
      </c>
      <c r="O45" s="72">
        <f t="shared" si="3"/>
        <v>152.57</v>
      </c>
      <c r="P45" s="274">
        <f t="shared" si="4"/>
        <v>762.84999999999991</v>
      </c>
      <c r="Q45" s="291">
        <f t="shared" si="5"/>
        <v>5.19</v>
      </c>
    </row>
    <row r="46" spans="2:21" s="121" customFormat="1" ht="16.5" customHeight="1" x14ac:dyDescent="0.2">
      <c r="B46" s="120"/>
      <c r="C46" s="73" t="s">
        <v>186</v>
      </c>
      <c r="D46" s="73" t="s">
        <v>209</v>
      </c>
      <c r="E46" s="74" t="s">
        <v>249</v>
      </c>
      <c r="F46" s="75" t="s">
        <v>250</v>
      </c>
      <c r="G46" s="76" t="s">
        <v>99</v>
      </c>
      <c r="H46" s="77">
        <v>5</v>
      </c>
      <c r="I46" s="78">
        <v>395.88</v>
      </c>
      <c r="J46" s="77">
        <v>1979.4</v>
      </c>
      <c r="K46" s="68">
        <v>0</v>
      </c>
      <c r="L46" s="69">
        <f t="shared" si="0"/>
        <v>395.88</v>
      </c>
      <c r="M46" s="273">
        <f t="shared" si="1"/>
        <v>0</v>
      </c>
      <c r="N46" s="71">
        <f t="shared" si="2"/>
        <v>5</v>
      </c>
      <c r="O46" s="72">
        <f t="shared" si="3"/>
        <v>395.88</v>
      </c>
      <c r="P46" s="274">
        <f t="shared" si="4"/>
        <v>1979.4</v>
      </c>
      <c r="Q46" s="291">
        <f t="shared" si="5"/>
        <v>5.19</v>
      </c>
    </row>
    <row r="47" spans="2:21" s="121" customFormat="1" ht="56.25" x14ac:dyDescent="0.2">
      <c r="B47" s="120"/>
      <c r="C47" s="56" t="s">
        <v>189</v>
      </c>
      <c r="D47" s="56" t="s">
        <v>96</v>
      </c>
      <c r="E47" s="57" t="s">
        <v>252</v>
      </c>
      <c r="F47" s="58" t="s">
        <v>253</v>
      </c>
      <c r="G47" s="59" t="s">
        <v>150</v>
      </c>
      <c r="H47" s="60">
        <v>28.89</v>
      </c>
      <c r="I47" s="61">
        <v>3239.16</v>
      </c>
      <c r="J47" s="60">
        <v>93579.3</v>
      </c>
      <c r="K47" s="68">
        <f t="shared" ref="K47:K48" si="7">ROUND(223.5/225*Q47-Q47,2)</f>
        <v>-0.2</v>
      </c>
      <c r="L47" s="69">
        <f t="shared" si="0"/>
        <v>3239.16</v>
      </c>
      <c r="M47" s="273">
        <f t="shared" si="1"/>
        <v>-647.83199999999999</v>
      </c>
      <c r="N47" s="71">
        <f t="shared" si="2"/>
        <v>28.69</v>
      </c>
      <c r="O47" s="72">
        <f t="shared" si="3"/>
        <v>3239.16</v>
      </c>
      <c r="P47" s="274">
        <f t="shared" si="4"/>
        <v>92931.500400000004</v>
      </c>
      <c r="Q47" s="291">
        <f t="shared" si="5"/>
        <v>30.01</v>
      </c>
      <c r="R47" s="190" t="s">
        <v>943</v>
      </c>
      <c r="S47" s="194" t="s">
        <v>946</v>
      </c>
      <c r="T47" s="185" t="s">
        <v>931</v>
      </c>
    </row>
    <row r="48" spans="2:21" s="121" customFormat="1" ht="22.5" x14ac:dyDescent="0.2">
      <c r="B48" s="120"/>
      <c r="C48" s="56" t="s">
        <v>192</v>
      </c>
      <c r="D48" s="56" t="s">
        <v>96</v>
      </c>
      <c r="E48" s="57" t="s">
        <v>255</v>
      </c>
      <c r="F48" s="58" t="s">
        <v>256</v>
      </c>
      <c r="G48" s="59" t="s">
        <v>150</v>
      </c>
      <c r="H48" s="60">
        <v>2.36</v>
      </c>
      <c r="I48" s="61">
        <v>3188.13</v>
      </c>
      <c r="J48" s="60">
        <v>7524</v>
      </c>
      <c r="K48" s="68">
        <f t="shared" si="7"/>
        <v>-0.02</v>
      </c>
      <c r="L48" s="69">
        <f t="shared" si="0"/>
        <v>3188.13</v>
      </c>
      <c r="M48" s="273">
        <f t="shared" si="1"/>
        <v>-63.762600000000006</v>
      </c>
      <c r="N48" s="71">
        <f t="shared" si="2"/>
        <v>2.34</v>
      </c>
      <c r="O48" s="72">
        <f t="shared" si="3"/>
        <v>3188.13</v>
      </c>
      <c r="P48" s="274">
        <f t="shared" si="4"/>
        <v>7460.2241999999997</v>
      </c>
      <c r="Q48" s="291">
        <f t="shared" si="5"/>
        <v>2.4500000000000002</v>
      </c>
      <c r="S48" s="185" t="s">
        <v>947</v>
      </c>
      <c r="T48" s="190" t="s">
        <v>962</v>
      </c>
      <c r="U48" s="121" t="s">
        <v>973</v>
      </c>
    </row>
    <row r="49" spans="2:20" s="170" customFormat="1" ht="22.9" customHeight="1" x14ac:dyDescent="0.2">
      <c r="B49" s="165"/>
      <c r="C49" s="252"/>
      <c r="D49" s="253" t="s">
        <v>4</v>
      </c>
      <c r="E49" s="254" t="s">
        <v>105</v>
      </c>
      <c r="F49" s="254" t="s">
        <v>257</v>
      </c>
      <c r="G49" s="252"/>
      <c r="H49" s="252"/>
      <c r="I49" s="255"/>
      <c r="J49" s="256">
        <f>+SUBTOTAL(9,J50:J54)</f>
        <v>415354</v>
      </c>
      <c r="K49" s="261"/>
      <c r="L49" s="262"/>
      <c r="M49" s="279">
        <f>SUM(M50:M54)</f>
        <v>0</v>
      </c>
      <c r="N49" s="280"/>
      <c r="O49" s="262"/>
      <c r="P49" s="279">
        <f>SUM(P50:P54)</f>
        <v>415354.05939999997</v>
      </c>
      <c r="Q49" s="291">
        <f t="shared" si="5"/>
        <v>0</v>
      </c>
      <c r="R49" s="121"/>
    </row>
    <row r="50" spans="2:20" s="121" customFormat="1" ht="16.5" customHeight="1" x14ac:dyDescent="0.2">
      <c r="B50" s="120"/>
      <c r="C50" s="56" t="s">
        <v>195</v>
      </c>
      <c r="D50" s="56" t="s">
        <v>96</v>
      </c>
      <c r="E50" s="57" t="s">
        <v>262</v>
      </c>
      <c r="F50" s="58" t="s">
        <v>263</v>
      </c>
      <c r="G50" s="59" t="s">
        <v>108</v>
      </c>
      <c r="H50" s="60">
        <v>247.54</v>
      </c>
      <c r="I50" s="61">
        <v>307.51</v>
      </c>
      <c r="J50" s="60">
        <v>76121</v>
      </c>
      <c r="K50" s="68">
        <v>0</v>
      </c>
      <c r="L50" s="69">
        <f t="shared" si="0"/>
        <v>307.51</v>
      </c>
      <c r="M50" s="273">
        <f t="shared" si="1"/>
        <v>0</v>
      </c>
      <c r="N50" s="71">
        <f t="shared" si="2"/>
        <v>247.54</v>
      </c>
      <c r="O50" s="72">
        <f t="shared" si="3"/>
        <v>307.51</v>
      </c>
      <c r="P50" s="274">
        <f t="shared" si="4"/>
        <v>76121.025399999999</v>
      </c>
      <c r="Q50" s="291">
        <f t="shared" si="5"/>
        <v>257.12</v>
      </c>
    </row>
    <row r="51" spans="2:20" s="121" customFormat="1" ht="16.5" customHeight="1" x14ac:dyDescent="0.2">
      <c r="B51" s="120"/>
      <c r="C51" s="56" t="s">
        <v>198</v>
      </c>
      <c r="D51" s="56" t="s">
        <v>96</v>
      </c>
      <c r="E51" s="57" t="s">
        <v>268</v>
      </c>
      <c r="F51" s="58" t="s">
        <v>269</v>
      </c>
      <c r="G51" s="59" t="s">
        <v>108</v>
      </c>
      <c r="H51" s="60">
        <v>247.54</v>
      </c>
      <c r="I51" s="61">
        <v>14.18</v>
      </c>
      <c r="J51" s="60">
        <v>3510.1</v>
      </c>
      <c r="K51" s="68">
        <v>0</v>
      </c>
      <c r="L51" s="69">
        <f t="shared" si="0"/>
        <v>14.18</v>
      </c>
      <c r="M51" s="273">
        <f t="shared" si="1"/>
        <v>0</v>
      </c>
      <c r="N51" s="71">
        <f t="shared" si="2"/>
        <v>247.54</v>
      </c>
      <c r="O51" s="72">
        <f t="shared" si="3"/>
        <v>14.18</v>
      </c>
      <c r="P51" s="274">
        <f t="shared" si="4"/>
        <v>3510.1171999999997</v>
      </c>
      <c r="Q51" s="291">
        <f t="shared" si="5"/>
        <v>257.12</v>
      </c>
    </row>
    <row r="52" spans="2:20" s="121" customFormat="1" ht="16.5" customHeight="1" x14ac:dyDescent="0.2">
      <c r="B52" s="120"/>
      <c r="C52" s="56" t="s">
        <v>202</v>
      </c>
      <c r="D52" s="56" t="s">
        <v>96</v>
      </c>
      <c r="E52" s="57" t="s">
        <v>271</v>
      </c>
      <c r="F52" s="58" t="s">
        <v>272</v>
      </c>
      <c r="G52" s="59" t="s">
        <v>108</v>
      </c>
      <c r="H52" s="60">
        <v>472.58</v>
      </c>
      <c r="I52" s="61">
        <v>20.62</v>
      </c>
      <c r="J52" s="60">
        <v>9744.6</v>
      </c>
      <c r="K52" s="68">
        <v>0</v>
      </c>
      <c r="L52" s="69">
        <f t="shared" si="0"/>
        <v>20.62</v>
      </c>
      <c r="M52" s="273">
        <f t="shared" si="1"/>
        <v>0</v>
      </c>
      <c r="N52" s="71">
        <f t="shared" si="2"/>
        <v>472.58</v>
      </c>
      <c r="O52" s="72">
        <f t="shared" si="3"/>
        <v>20.62</v>
      </c>
      <c r="P52" s="274">
        <f t="shared" si="4"/>
        <v>9744.5995999999996</v>
      </c>
      <c r="Q52" s="291">
        <f t="shared" si="5"/>
        <v>490.86</v>
      </c>
    </row>
    <row r="53" spans="2:20" s="121" customFormat="1" ht="16.5" customHeight="1" x14ac:dyDescent="0.2">
      <c r="B53" s="120"/>
      <c r="C53" s="56" t="s">
        <v>205</v>
      </c>
      <c r="D53" s="56" t="s">
        <v>96</v>
      </c>
      <c r="E53" s="57" t="s">
        <v>274</v>
      </c>
      <c r="F53" s="58" t="s">
        <v>275</v>
      </c>
      <c r="G53" s="59" t="s">
        <v>108</v>
      </c>
      <c r="H53" s="60">
        <v>472.58</v>
      </c>
      <c r="I53" s="61">
        <v>396.71</v>
      </c>
      <c r="J53" s="60">
        <v>187477.2</v>
      </c>
      <c r="K53" s="68">
        <v>0</v>
      </c>
      <c r="L53" s="69">
        <f t="shared" si="0"/>
        <v>396.71</v>
      </c>
      <c r="M53" s="273">
        <f t="shared" si="1"/>
        <v>0</v>
      </c>
      <c r="N53" s="71">
        <f t="shared" si="2"/>
        <v>472.58</v>
      </c>
      <c r="O53" s="72">
        <f t="shared" si="3"/>
        <v>396.71</v>
      </c>
      <c r="P53" s="274">
        <f t="shared" si="4"/>
        <v>187477.21179999999</v>
      </c>
      <c r="Q53" s="291">
        <f t="shared" si="5"/>
        <v>490.86</v>
      </c>
    </row>
    <row r="54" spans="2:20" s="121" customFormat="1" ht="16.5" customHeight="1" x14ac:dyDescent="0.2">
      <c r="B54" s="120"/>
      <c r="C54" s="56" t="s">
        <v>208</v>
      </c>
      <c r="D54" s="56" t="s">
        <v>96</v>
      </c>
      <c r="E54" s="57" t="s">
        <v>277</v>
      </c>
      <c r="F54" s="58" t="s">
        <v>278</v>
      </c>
      <c r="G54" s="59" t="s">
        <v>108</v>
      </c>
      <c r="H54" s="60">
        <v>247.54</v>
      </c>
      <c r="I54" s="61">
        <v>559.51</v>
      </c>
      <c r="J54" s="60">
        <v>138501.1</v>
      </c>
      <c r="K54" s="68">
        <v>0</v>
      </c>
      <c r="L54" s="69">
        <f t="shared" si="0"/>
        <v>559.51</v>
      </c>
      <c r="M54" s="273">
        <f t="shared" si="1"/>
        <v>0</v>
      </c>
      <c r="N54" s="71">
        <f t="shared" si="2"/>
        <v>247.54</v>
      </c>
      <c r="O54" s="72">
        <f t="shared" si="3"/>
        <v>559.51</v>
      </c>
      <c r="P54" s="274">
        <f t="shared" si="4"/>
        <v>138501.1054</v>
      </c>
      <c r="Q54" s="291">
        <f t="shared" si="5"/>
        <v>257.12</v>
      </c>
    </row>
    <row r="55" spans="2:20" s="170" customFormat="1" ht="22.9" customHeight="1" x14ac:dyDescent="0.2">
      <c r="B55" s="165"/>
      <c r="C55" s="252"/>
      <c r="D55" s="253" t="s">
        <v>4</v>
      </c>
      <c r="E55" s="254" t="s">
        <v>115</v>
      </c>
      <c r="F55" s="254" t="s">
        <v>288</v>
      </c>
      <c r="G55" s="252"/>
      <c r="H55" s="252"/>
      <c r="I55" s="255"/>
      <c r="J55" s="256">
        <f>+SUBTOTAL(9,J56:J75)</f>
        <v>607141.19999999995</v>
      </c>
      <c r="K55" s="261"/>
      <c r="L55" s="262"/>
      <c r="M55" s="279">
        <f>SUM(M56:M75)</f>
        <v>-2516.5500000000002</v>
      </c>
      <c r="N55" s="280"/>
      <c r="O55" s="262"/>
      <c r="P55" s="279">
        <f>SUM(P56:P75)</f>
        <v>604624.7790000001</v>
      </c>
      <c r="Q55" s="291">
        <f t="shared" si="5"/>
        <v>0</v>
      </c>
    </row>
    <row r="56" spans="2:20" s="121" customFormat="1" ht="16.5" customHeight="1" x14ac:dyDescent="0.2">
      <c r="B56" s="120"/>
      <c r="C56" s="56" t="s">
        <v>212</v>
      </c>
      <c r="D56" s="56" t="s">
        <v>96</v>
      </c>
      <c r="E56" s="57" t="s">
        <v>296</v>
      </c>
      <c r="F56" s="58" t="s">
        <v>297</v>
      </c>
      <c r="G56" s="59" t="s">
        <v>133</v>
      </c>
      <c r="H56" s="60">
        <v>216.62</v>
      </c>
      <c r="I56" s="61">
        <v>552.39</v>
      </c>
      <c r="J56" s="60">
        <v>119658.7</v>
      </c>
      <c r="K56" s="68">
        <f t="shared" ref="K56:K57" si="8">ROUND(223.5/225*Q56-Q56,2)</f>
        <v>-1.5</v>
      </c>
      <c r="L56" s="69">
        <f t="shared" si="0"/>
        <v>552.39</v>
      </c>
      <c r="M56" s="273">
        <f t="shared" si="1"/>
        <v>-828.58500000000004</v>
      </c>
      <c r="N56" s="71">
        <f t="shared" si="2"/>
        <v>215.12</v>
      </c>
      <c r="O56" s="72">
        <f t="shared" si="3"/>
        <v>552.39</v>
      </c>
      <c r="P56" s="274">
        <f t="shared" si="4"/>
        <v>118830.13679999999</v>
      </c>
      <c r="Q56" s="291">
        <f t="shared" si="5"/>
        <v>225</v>
      </c>
    </row>
    <row r="57" spans="2:20" s="121" customFormat="1" ht="16.5" customHeight="1" x14ac:dyDescent="0.2">
      <c r="B57" s="120"/>
      <c r="C57" s="73" t="s">
        <v>215</v>
      </c>
      <c r="D57" s="73" t="s">
        <v>209</v>
      </c>
      <c r="E57" s="74" t="s">
        <v>299</v>
      </c>
      <c r="F57" s="75" t="s">
        <v>300</v>
      </c>
      <c r="G57" s="76" t="s">
        <v>133</v>
      </c>
      <c r="H57" s="77">
        <v>216.62</v>
      </c>
      <c r="I57" s="78">
        <v>1060.07</v>
      </c>
      <c r="J57" s="77">
        <v>229632.4</v>
      </c>
      <c r="K57" s="68">
        <f t="shared" si="8"/>
        <v>-1.5</v>
      </c>
      <c r="L57" s="69">
        <f t="shared" si="0"/>
        <v>1060.07</v>
      </c>
      <c r="M57" s="273">
        <f t="shared" si="1"/>
        <v>-1590.105</v>
      </c>
      <c r="N57" s="71">
        <f t="shared" si="2"/>
        <v>215.12</v>
      </c>
      <c r="O57" s="72">
        <f t="shared" si="3"/>
        <v>1060.07</v>
      </c>
      <c r="P57" s="274">
        <f t="shared" si="4"/>
        <v>228042.25839999999</v>
      </c>
      <c r="Q57" s="291">
        <f t="shared" si="5"/>
        <v>225</v>
      </c>
    </row>
    <row r="58" spans="2:20" s="121" customFormat="1" ht="16.5" customHeight="1" x14ac:dyDescent="0.2">
      <c r="B58" s="120"/>
      <c r="C58" s="73" t="s">
        <v>219</v>
      </c>
      <c r="D58" s="73" t="s">
        <v>209</v>
      </c>
      <c r="E58" s="74" t="s">
        <v>302</v>
      </c>
      <c r="F58" s="75" t="s">
        <v>303</v>
      </c>
      <c r="G58" s="76" t="s">
        <v>99</v>
      </c>
      <c r="H58" s="77">
        <v>11</v>
      </c>
      <c r="I58" s="78">
        <v>739.15</v>
      </c>
      <c r="J58" s="77">
        <v>8130.7</v>
      </c>
      <c r="K58" s="68">
        <v>0</v>
      </c>
      <c r="L58" s="69">
        <f t="shared" si="0"/>
        <v>739.15</v>
      </c>
      <c r="M58" s="273">
        <f t="shared" si="1"/>
        <v>0</v>
      </c>
      <c r="N58" s="71">
        <f t="shared" si="2"/>
        <v>11</v>
      </c>
      <c r="O58" s="72">
        <f t="shared" si="3"/>
        <v>739.15</v>
      </c>
      <c r="P58" s="274">
        <f t="shared" si="4"/>
        <v>8130.65</v>
      </c>
      <c r="Q58" s="291">
        <f t="shared" si="5"/>
        <v>11.43</v>
      </c>
      <c r="R58" s="186" t="s">
        <v>938</v>
      </c>
      <c r="S58" s="121" t="s">
        <v>925</v>
      </c>
      <c r="T58" s="121" t="s">
        <v>931</v>
      </c>
    </row>
    <row r="59" spans="2:20" s="121" customFormat="1" ht="16.5" customHeight="1" x14ac:dyDescent="0.2">
      <c r="B59" s="120"/>
      <c r="C59" s="56" t="s">
        <v>223</v>
      </c>
      <c r="D59" s="56" t="s">
        <v>96</v>
      </c>
      <c r="E59" s="57" t="s">
        <v>320</v>
      </c>
      <c r="F59" s="58" t="s">
        <v>321</v>
      </c>
      <c r="G59" s="59" t="s">
        <v>99</v>
      </c>
      <c r="H59" s="60">
        <v>4</v>
      </c>
      <c r="I59" s="61">
        <v>260.41000000000003</v>
      </c>
      <c r="J59" s="60">
        <v>1041.5999999999999</v>
      </c>
      <c r="K59" s="68">
        <v>0</v>
      </c>
      <c r="L59" s="69">
        <f t="shared" si="0"/>
        <v>260.41000000000003</v>
      </c>
      <c r="M59" s="273">
        <f t="shared" si="1"/>
        <v>0</v>
      </c>
      <c r="N59" s="71">
        <f t="shared" si="2"/>
        <v>4</v>
      </c>
      <c r="O59" s="72">
        <f t="shared" si="3"/>
        <v>260.41000000000003</v>
      </c>
      <c r="P59" s="274">
        <f t="shared" si="4"/>
        <v>1041.6400000000001</v>
      </c>
      <c r="Q59" s="291">
        <f t="shared" si="5"/>
        <v>4.1500000000000004</v>
      </c>
    </row>
    <row r="60" spans="2:20" s="121" customFormat="1" ht="16.5" customHeight="1" x14ac:dyDescent="0.2">
      <c r="B60" s="120"/>
      <c r="C60" s="73" t="s">
        <v>226</v>
      </c>
      <c r="D60" s="73" t="s">
        <v>209</v>
      </c>
      <c r="E60" s="74" t="s">
        <v>326</v>
      </c>
      <c r="F60" s="75" t="s">
        <v>327</v>
      </c>
      <c r="G60" s="76" t="s">
        <v>99</v>
      </c>
      <c r="H60" s="77">
        <v>4.0599999999999996</v>
      </c>
      <c r="I60" s="78">
        <v>1801.85</v>
      </c>
      <c r="J60" s="77">
        <v>7315.5</v>
      </c>
      <c r="K60" s="68">
        <v>0</v>
      </c>
      <c r="L60" s="69">
        <f t="shared" si="0"/>
        <v>1801.85</v>
      </c>
      <c r="M60" s="273">
        <f t="shared" si="1"/>
        <v>0</v>
      </c>
      <c r="N60" s="71">
        <f t="shared" si="2"/>
        <v>4.0599999999999996</v>
      </c>
      <c r="O60" s="72">
        <f t="shared" si="3"/>
        <v>1801.85</v>
      </c>
      <c r="P60" s="274">
        <f t="shared" si="4"/>
        <v>7315.5109999999986</v>
      </c>
      <c r="Q60" s="291">
        <f t="shared" si="5"/>
        <v>4.22</v>
      </c>
    </row>
    <row r="61" spans="2:20" s="121" customFormat="1" ht="16.5" customHeight="1" x14ac:dyDescent="0.2">
      <c r="B61" s="120"/>
      <c r="C61" s="56" t="s">
        <v>230</v>
      </c>
      <c r="D61" s="56" t="s">
        <v>96</v>
      </c>
      <c r="E61" s="57" t="s">
        <v>329</v>
      </c>
      <c r="F61" s="58" t="s">
        <v>330</v>
      </c>
      <c r="G61" s="59" t="s">
        <v>99</v>
      </c>
      <c r="H61" s="60">
        <v>13</v>
      </c>
      <c r="I61" s="61">
        <v>219.64</v>
      </c>
      <c r="J61" s="60">
        <v>2855.3</v>
      </c>
      <c r="K61" s="68">
        <v>0</v>
      </c>
      <c r="L61" s="69">
        <f t="shared" si="0"/>
        <v>219.64</v>
      </c>
      <c r="M61" s="273">
        <f t="shared" si="1"/>
        <v>0</v>
      </c>
      <c r="N61" s="71">
        <f t="shared" si="2"/>
        <v>13</v>
      </c>
      <c r="O61" s="72">
        <f t="shared" si="3"/>
        <v>219.64</v>
      </c>
      <c r="P61" s="274">
        <f t="shared" si="4"/>
        <v>2855.3199999999997</v>
      </c>
      <c r="Q61" s="291">
        <f t="shared" si="5"/>
        <v>13.5</v>
      </c>
    </row>
    <row r="62" spans="2:20" s="121" customFormat="1" ht="16.5" customHeight="1" x14ac:dyDescent="0.2">
      <c r="B62" s="120"/>
      <c r="C62" s="73" t="s">
        <v>233</v>
      </c>
      <c r="D62" s="73" t="s">
        <v>209</v>
      </c>
      <c r="E62" s="74" t="s">
        <v>332</v>
      </c>
      <c r="F62" s="75" t="s">
        <v>333</v>
      </c>
      <c r="G62" s="76" t="s">
        <v>99</v>
      </c>
      <c r="H62" s="77">
        <v>6.09</v>
      </c>
      <c r="I62" s="78">
        <v>1129.77</v>
      </c>
      <c r="J62" s="77">
        <v>6880.3</v>
      </c>
      <c r="K62" s="68">
        <v>0</v>
      </c>
      <c r="L62" s="69">
        <f t="shared" si="0"/>
        <v>1129.77</v>
      </c>
      <c r="M62" s="273">
        <f t="shared" si="1"/>
        <v>0</v>
      </c>
      <c r="N62" s="71">
        <f t="shared" si="2"/>
        <v>6.09</v>
      </c>
      <c r="O62" s="72">
        <f t="shared" si="3"/>
        <v>1129.77</v>
      </c>
      <c r="P62" s="274">
        <f t="shared" si="4"/>
        <v>6880.2992999999997</v>
      </c>
      <c r="Q62" s="291">
        <f t="shared" si="5"/>
        <v>6.33</v>
      </c>
    </row>
    <row r="63" spans="2:20" s="121" customFormat="1" ht="16.5" customHeight="1" x14ac:dyDescent="0.2">
      <c r="B63" s="120"/>
      <c r="C63" s="73" t="s">
        <v>236</v>
      </c>
      <c r="D63" s="73" t="s">
        <v>209</v>
      </c>
      <c r="E63" s="74" t="s">
        <v>335</v>
      </c>
      <c r="F63" s="75" t="s">
        <v>336</v>
      </c>
      <c r="G63" s="76" t="s">
        <v>99</v>
      </c>
      <c r="H63" s="77">
        <v>7.11</v>
      </c>
      <c r="I63" s="78">
        <v>1129.77</v>
      </c>
      <c r="J63" s="77">
        <v>8032.7</v>
      </c>
      <c r="K63" s="68">
        <v>0</v>
      </c>
      <c r="L63" s="69">
        <f t="shared" si="0"/>
        <v>1129.77</v>
      </c>
      <c r="M63" s="273">
        <f t="shared" si="1"/>
        <v>0</v>
      </c>
      <c r="N63" s="71">
        <f t="shared" si="2"/>
        <v>7.11</v>
      </c>
      <c r="O63" s="72">
        <f t="shared" si="3"/>
        <v>1129.77</v>
      </c>
      <c r="P63" s="274">
        <f t="shared" si="4"/>
        <v>8032.6647000000003</v>
      </c>
      <c r="Q63" s="291">
        <f t="shared" si="5"/>
        <v>7.39</v>
      </c>
    </row>
    <row r="64" spans="2:20" s="121" customFormat="1" ht="33.75" customHeight="1" x14ac:dyDescent="0.2">
      <c r="B64" s="120"/>
      <c r="C64" s="56" t="s">
        <v>239</v>
      </c>
      <c r="D64" s="56" t="s">
        <v>96</v>
      </c>
      <c r="E64" s="57" t="s">
        <v>347</v>
      </c>
      <c r="F64" s="58" t="s">
        <v>348</v>
      </c>
      <c r="G64" s="59" t="s">
        <v>133</v>
      </c>
      <c r="H64" s="60">
        <v>216.62</v>
      </c>
      <c r="I64" s="61">
        <v>56.03</v>
      </c>
      <c r="J64" s="60">
        <v>12137.2</v>
      </c>
      <c r="K64" s="68">
        <f t="shared" ref="K64" si="9">ROUND(223.5/225*Q64-Q64,2)</f>
        <v>-1.5</v>
      </c>
      <c r="L64" s="69">
        <f t="shared" si="0"/>
        <v>56.03</v>
      </c>
      <c r="M64" s="273">
        <f t="shared" si="1"/>
        <v>-84.045000000000002</v>
      </c>
      <c r="N64" s="71">
        <f t="shared" si="2"/>
        <v>215.12</v>
      </c>
      <c r="O64" s="72">
        <f t="shared" si="3"/>
        <v>56.03</v>
      </c>
      <c r="P64" s="274">
        <f t="shared" si="4"/>
        <v>12053.1736</v>
      </c>
      <c r="Q64" s="291">
        <f t="shared" si="5"/>
        <v>225</v>
      </c>
    </row>
    <row r="65" spans="2:17" s="121" customFormat="1" ht="16.5" customHeight="1" x14ac:dyDescent="0.2">
      <c r="B65" s="120"/>
      <c r="C65" s="56" t="s">
        <v>242</v>
      </c>
      <c r="D65" s="56" t="s">
        <v>96</v>
      </c>
      <c r="E65" s="57" t="s">
        <v>350</v>
      </c>
      <c r="F65" s="58" t="s">
        <v>351</v>
      </c>
      <c r="G65" s="59" t="s">
        <v>99</v>
      </c>
      <c r="H65" s="60">
        <v>9</v>
      </c>
      <c r="I65" s="61">
        <v>808.86</v>
      </c>
      <c r="J65" s="60">
        <v>7279.7</v>
      </c>
      <c r="K65" s="68">
        <v>0</v>
      </c>
      <c r="L65" s="69">
        <f t="shared" si="0"/>
        <v>808.86</v>
      </c>
      <c r="M65" s="273">
        <f t="shared" si="1"/>
        <v>0</v>
      </c>
      <c r="N65" s="71">
        <f t="shared" si="2"/>
        <v>9</v>
      </c>
      <c r="O65" s="72">
        <f t="shared" si="3"/>
        <v>808.86</v>
      </c>
      <c r="P65" s="274">
        <f t="shared" si="4"/>
        <v>7279.74</v>
      </c>
      <c r="Q65" s="291">
        <f t="shared" si="5"/>
        <v>9.35</v>
      </c>
    </row>
    <row r="66" spans="2:17" s="121" customFormat="1" ht="16.5" customHeight="1" x14ac:dyDescent="0.2">
      <c r="B66" s="120"/>
      <c r="C66" s="73" t="s">
        <v>245</v>
      </c>
      <c r="D66" s="73" t="s">
        <v>209</v>
      </c>
      <c r="E66" s="74" t="s">
        <v>356</v>
      </c>
      <c r="F66" s="75" t="s">
        <v>357</v>
      </c>
      <c r="G66" s="76" t="s">
        <v>99</v>
      </c>
      <c r="H66" s="77">
        <v>4</v>
      </c>
      <c r="I66" s="78">
        <v>1202.1099999999999</v>
      </c>
      <c r="J66" s="77">
        <v>4808.3999999999996</v>
      </c>
      <c r="K66" s="68">
        <v>0</v>
      </c>
      <c r="L66" s="69">
        <f t="shared" si="0"/>
        <v>1202.1099999999999</v>
      </c>
      <c r="M66" s="273">
        <f t="shared" si="1"/>
        <v>0</v>
      </c>
      <c r="N66" s="71">
        <f t="shared" si="2"/>
        <v>4</v>
      </c>
      <c r="O66" s="72">
        <f t="shared" si="3"/>
        <v>1202.1099999999999</v>
      </c>
      <c r="P66" s="274">
        <f t="shared" si="4"/>
        <v>4808.4399999999996</v>
      </c>
      <c r="Q66" s="291">
        <f t="shared" si="5"/>
        <v>4.1500000000000004</v>
      </c>
    </row>
    <row r="67" spans="2:17" s="121" customFormat="1" ht="16.5" customHeight="1" x14ac:dyDescent="0.2">
      <c r="B67" s="120"/>
      <c r="C67" s="73" t="s">
        <v>248</v>
      </c>
      <c r="D67" s="73" t="s">
        <v>209</v>
      </c>
      <c r="E67" s="74" t="s">
        <v>359</v>
      </c>
      <c r="F67" s="75" t="s">
        <v>360</v>
      </c>
      <c r="G67" s="76" t="s">
        <v>99</v>
      </c>
      <c r="H67" s="77">
        <v>5</v>
      </c>
      <c r="I67" s="78">
        <v>775.98</v>
      </c>
      <c r="J67" s="77">
        <v>3879.9</v>
      </c>
      <c r="K67" s="68">
        <v>0</v>
      </c>
      <c r="L67" s="69">
        <f t="shared" si="0"/>
        <v>775.98</v>
      </c>
      <c r="M67" s="273">
        <f t="shared" si="1"/>
        <v>0</v>
      </c>
      <c r="N67" s="71">
        <f t="shared" si="2"/>
        <v>5</v>
      </c>
      <c r="O67" s="72">
        <f t="shared" si="3"/>
        <v>775.98</v>
      </c>
      <c r="P67" s="274">
        <f t="shared" si="4"/>
        <v>3879.9</v>
      </c>
      <c r="Q67" s="291">
        <f t="shared" si="5"/>
        <v>5.19</v>
      </c>
    </row>
    <row r="68" spans="2:17" s="121" customFormat="1" ht="16.5" customHeight="1" x14ac:dyDescent="0.2">
      <c r="B68" s="120"/>
      <c r="C68" s="73" t="s">
        <v>251</v>
      </c>
      <c r="D68" s="73" t="s">
        <v>209</v>
      </c>
      <c r="E68" s="74" t="s">
        <v>362</v>
      </c>
      <c r="F68" s="75" t="s">
        <v>363</v>
      </c>
      <c r="G68" s="76" t="s">
        <v>99</v>
      </c>
      <c r="H68" s="77">
        <v>16</v>
      </c>
      <c r="I68" s="78">
        <v>211.75</v>
      </c>
      <c r="J68" s="77">
        <v>3388</v>
      </c>
      <c r="K68" s="68">
        <v>0</v>
      </c>
      <c r="L68" s="69">
        <f t="shared" si="0"/>
        <v>211.75</v>
      </c>
      <c r="M68" s="273">
        <f t="shared" si="1"/>
        <v>0</v>
      </c>
      <c r="N68" s="71">
        <f t="shared" si="2"/>
        <v>16</v>
      </c>
      <c r="O68" s="72">
        <f t="shared" si="3"/>
        <v>211.75</v>
      </c>
      <c r="P68" s="274">
        <f t="shared" si="4"/>
        <v>3388</v>
      </c>
      <c r="Q68" s="291">
        <f t="shared" si="5"/>
        <v>16.62</v>
      </c>
    </row>
    <row r="69" spans="2:17" s="121" customFormat="1" ht="16.5" customHeight="1" x14ac:dyDescent="0.2">
      <c r="B69" s="120"/>
      <c r="C69" s="56" t="s">
        <v>254</v>
      </c>
      <c r="D69" s="56" t="s">
        <v>96</v>
      </c>
      <c r="E69" s="57" t="s">
        <v>365</v>
      </c>
      <c r="F69" s="58" t="s">
        <v>366</v>
      </c>
      <c r="G69" s="59" t="s">
        <v>99</v>
      </c>
      <c r="H69" s="60">
        <v>7</v>
      </c>
      <c r="I69" s="61">
        <v>808.86</v>
      </c>
      <c r="J69" s="60">
        <v>5662</v>
      </c>
      <c r="K69" s="68">
        <v>0</v>
      </c>
      <c r="L69" s="69">
        <f t="shared" si="0"/>
        <v>808.86</v>
      </c>
      <c r="M69" s="273">
        <f t="shared" si="1"/>
        <v>0</v>
      </c>
      <c r="N69" s="71">
        <f t="shared" si="2"/>
        <v>7</v>
      </c>
      <c r="O69" s="72">
        <f t="shared" si="3"/>
        <v>808.86</v>
      </c>
      <c r="P69" s="274">
        <f t="shared" si="4"/>
        <v>5662.02</v>
      </c>
      <c r="Q69" s="291">
        <f t="shared" si="5"/>
        <v>7.27</v>
      </c>
    </row>
    <row r="70" spans="2:17" s="121" customFormat="1" ht="16.5" customHeight="1" x14ac:dyDescent="0.2">
      <c r="B70" s="120"/>
      <c r="C70" s="73" t="s">
        <v>258</v>
      </c>
      <c r="D70" s="73" t="s">
        <v>209</v>
      </c>
      <c r="E70" s="74" t="s">
        <v>368</v>
      </c>
      <c r="F70" s="75" t="s">
        <v>369</v>
      </c>
      <c r="G70" s="76" t="s">
        <v>99</v>
      </c>
      <c r="H70" s="77">
        <v>7</v>
      </c>
      <c r="I70" s="78">
        <v>1530.92</v>
      </c>
      <c r="J70" s="77">
        <v>10716.4</v>
      </c>
      <c r="K70" s="68">
        <v>0</v>
      </c>
      <c r="L70" s="69">
        <f t="shared" si="0"/>
        <v>1530.92</v>
      </c>
      <c r="M70" s="273">
        <f t="shared" si="1"/>
        <v>0</v>
      </c>
      <c r="N70" s="71">
        <f t="shared" si="2"/>
        <v>7</v>
      </c>
      <c r="O70" s="72">
        <f t="shared" si="3"/>
        <v>1530.92</v>
      </c>
      <c r="P70" s="274">
        <f t="shared" si="4"/>
        <v>10716.44</v>
      </c>
      <c r="Q70" s="291">
        <f t="shared" si="5"/>
        <v>7.27</v>
      </c>
    </row>
    <row r="71" spans="2:17" s="121" customFormat="1" ht="16.5" customHeight="1" x14ac:dyDescent="0.2">
      <c r="B71" s="120"/>
      <c r="C71" s="56" t="s">
        <v>261</v>
      </c>
      <c r="D71" s="56" t="s">
        <v>96</v>
      </c>
      <c r="E71" s="57" t="s">
        <v>371</v>
      </c>
      <c r="F71" s="58" t="s">
        <v>372</v>
      </c>
      <c r="G71" s="59" t="s">
        <v>99</v>
      </c>
      <c r="H71" s="60">
        <v>7</v>
      </c>
      <c r="I71" s="61">
        <v>3234.12</v>
      </c>
      <c r="J71" s="60">
        <v>22638.799999999999</v>
      </c>
      <c r="K71" s="68">
        <v>0</v>
      </c>
      <c r="L71" s="69">
        <f t="shared" si="0"/>
        <v>3234.12</v>
      </c>
      <c r="M71" s="273">
        <f t="shared" si="1"/>
        <v>0</v>
      </c>
      <c r="N71" s="71">
        <f t="shared" si="2"/>
        <v>7</v>
      </c>
      <c r="O71" s="72">
        <f t="shared" si="3"/>
        <v>3234.12</v>
      </c>
      <c r="P71" s="274">
        <f t="shared" si="4"/>
        <v>22638.84</v>
      </c>
      <c r="Q71" s="291">
        <f t="shared" si="5"/>
        <v>7.27</v>
      </c>
    </row>
    <row r="72" spans="2:17" s="121" customFormat="1" ht="16.5" customHeight="1" x14ac:dyDescent="0.2">
      <c r="B72" s="120"/>
      <c r="C72" s="73" t="s">
        <v>264</v>
      </c>
      <c r="D72" s="73" t="s">
        <v>209</v>
      </c>
      <c r="E72" s="74" t="s">
        <v>374</v>
      </c>
      <c r="F72" s="75" t="s">
        <v>375</v>
      </c>
      <c r="G72" s="76" t="s">
        <v>99</v>
      </c>
      <c r="H72" s="77">
        <v>7</v>
      </c>
      <c r="I72" s="78">
        <v>14588.41</v>
      </c>
      <c r="J72" s="77">
        <v>102118.9</v>
      </c>
      <c r="K72" s="68">
        <v>0</v>
      </c>
      <c r="L72" s="69">
        <f t="shared" si="0"/>
        <v>14588.41</v>
      </c>
      <c r="M72" s="273">
        <f t="shared" si="1"/>
        <v>0</v>
      </c>
      <c r="N72" s="71">
        <f t="shared" si="2"/>
        <v>7</v>
      </c>
      <c r="O72" s="72">
        <f t="shared" si="3"/>
        <v>14588.41</v>
      </c>
      <c r="P72" s="274">
        <f t="shared" si="4"/>
        <v>102118.87</v>
      </c>
      <c r="Q72" s="291">
        <f t="shared" si="5"/>
        <v>7.27</v>
      </c>
    </row>
    <row r="73" spans="2:17" s="121" customFormat="1" ht="16.5" customHeight="1" x14ac:dyDescent="0.2">
      <c r="B73" s="120"/>
      <c r="C73" s="56" t="s">
        <v>267</v>
      </c>
      <c r="D73" s="56" t="s">
        <v>96</v>
      </c>
      <c r="E73" s="57" t="s">
        <v>377</v>
      </c>
      <c r="F73" s="58" t="s">
        <v>378</v>
      </c>
      <c r="G73" s="59" t="s">
        <v>99</v>
      </c>
      <c r="H73" s="60">
        <v>7</v>
      </c>
      <c r="I73" s="61">
        <v>485.32</v>
      </c>
      <c r="J73" s="60">
        <v>3397.2</v>
      </c>
      <c r="K73" s="68">
        <v>0</v>
      </c>
      <c r="L73" s="69">
        <f t="shared" si="0"/>
        <v>485.32</v>
      </c>
      <c r="M73" s="273">
        <f t="shared" si="1"/>
        <v>0</v>
      </c>
      <c r="N73" s="71">
        <f t="shared" si="2"/>
        <v>7</v>
      </c>
      <c r="O73" s="72">
        <f t="shared" si="3"/>
        <v>485.32</v>
      </c>
      <c r="P73" s="274">
        <f t="shared" si="4"/>
        <v>3397.24</v>
      </c>
      <c r="Q73" s="291">
        <f t="shared" si="5"/>
        <v>7.27</v>
      </c>
    </row>
    <row r="74" spans="2:17" s="121" customFormat="1" ht="16.5" customHeight="1" x14ac:dyDescent="0.2">
      <c r="B74" s="120"/>
      <c r="C74" s="73" t="s">
        <v>270</v>
      </c>
      <c r="D74" s="73" t="s">
        <v>209</v>
      </c>
      <c r="E74" s="74" t="s">
        <v>380</v>
      </c>
      <c r="F74" s="75" t="s">
        <v>381</v>
      </c>
      <c r="G74" s="76" t="s">
        <v>99</v>
      </c>
      <c r="H74" s="77">
        <v>7</v>
      </c>
      <c r="I74" s="78">
        <v>6510.34</v>
      </c>
      <c r="J74" s="77">
        <v>45572.4</v>
      </c>
      <c r="K74" s="68">
        <v>0</v>
      </c>
      <c r="L74" s="69">
        <f t="shared" si="0"/>
        <v>6510.34</v>
      </c>
      <c r="M74" s="273">
        <f t="shared" si="1"/>
        <v>0</v>
      </c>
      <c r="N74" s="71">
        <f t="shared" si="2"/>
        <v>7</v>
      </c>
      <c r="O74" s="72">
        <f t="shared" si="3"/>
        <v>6510.34</v>
      </c>
      <c r="P74" s="274">
        <f t="shared" si="4"/>
        <v>45572.380000000005</v>
      </c>
      <c r="Q74" s="291">
        <f t="shared" si="5"/>
        <v>7.27</v>
      </c>
    </row>
    <row r="75" spans="2:17" s="121" customFormat="1" ht="16.5" customHeight="1" x14ac:dyDescent="0.2">
      <c r="B75" s="120"/>
      <c r="C75" s="56" t="s">
        <v>273</v>
      </c>
      <c r="D75" s="56" t="s">
        <v>96</v>
      </c>
      <c r="E75" s="57" t="s">
        <v>383</v>
      </c>
      <c r="F75" s="58" t="s">
        <v>384</v>
      </c>
      <c r="G75" s="59" t="s">
        <v>133</v>
      </c>
      <c r="H75" s="60">
        <v>216.62</v>
      </c>
      <c r="I75" s="61">
        <v>9.2100000000000009</v>
      </c>
      <c r="J75" s="60">
        <v>1995.1</v>
      </c>
      <c r="K75" s="68">
        <f t="shared" ref="K75" si="10">ROUND(223.5/225*Q75-Q75,2)</f>
        <v>-1.5</v>
      </c>
      <c r="L75" s="69">
        <f t="shared" si="0"/>
        <v>9.2100000000000009</v>
      </c>
      <c r="M75" s="273">
        <f t="shared" si="1"/>
        <v>-13.815000000000001</v>
      </c>
      <c r="N75" s="71">
        <f t="shared" si="2"/>
        <v>215.12</v>
      </c>
      <c r="O75" s="72">
        <f t="shared" si="3"/>
        <v>9.2100000000000009</v>
      </c>
      <c r="P75" s="274">
        <f t="shared" si="4"/>
        <v>1981.2552000000003</v>
      </c>
      <c r="Q75" s="291">
        <f t="shared" si="5"/>
        <v>225</v>
      </c>
    </row>
    <row r="76" spans="2:17" s="170" customFormat="1" ht="22.9" customHeight="1" x14ac:dyDescent="0.2">
      <c r="B76" s="165"/>
      <c r="C76" s="252"/>
      <c r="D76" s="253" t="s">
        <v>4</v>
      </c>
      <c r="E76" s="254" t="s">
        <v>118</v>
      </c>
      <c r="F76" s="254" t="s">
        <v>385</v>
      </c>
      <c r="G76" s="252"/>
      <c r="H76" s="252"/>
      <c r="I76" s="255"/>
      <c r="J76" s="256">
        <f>+SUBTOTAL(9,J77:J78)</f>
        <v>72008.3</v>
      </c>
      <c r="K76" s="261"/>
      <c r="L76" s="262"/>
      <c r="M76" s="279">
        <f>SUM(M77:M78)</f>
        <v>0</v>
      </c>
      <c r="N76" s="280"/>
      <c r="O76" s="262"/>
      <c r="P76" s="279">
        <f>SUM(P77:P78)</f>
        <v>72008.299200000009</v>
      </c>
      <c r="Q76" s="291">
        <f t="shared" si="5"/>
        <v>0</v>
      </c>
    </row>
    <row r="77" spans="2:17" s="121" customFormat="1" ht="16.5" customHeight="1" x14ac:dyDescent="0.2">
      <c r="B77" s="120"/>
      <c r="C77" s="56" t="s">
        <v>276</v>
      </c>
      <c r="D77" s="56" t="s">
        <v>96</v>
      </c>
      <c r="E77" s="57" t="s">
        <v>387</v>
      </c>
      <c r="F77" s="58" t="s">
        <v>388</v>
      </c>
      <c r="G77" s="59" t="s">
        <v>133</v>
      </c>
      <c r="H77" s="60">
        <v>450.08</v>
      </c>
      <c r="I77" s="61">
        <v>87.65</v>
      </c>
      <c r="J77" s="60">
        <v>39449.5</v>
      </c>
      <c r="K77" s="68">
        <v>0</v>
      </c>
      <c r="L77" s="69">
        <f t="shared" si="0"/>
        <v>87.65</v>
      </c>
      <c r="M77" s="273">
        <f t="shared" si="1"/>
        <v>0</v>
      </c>
      <c r="N77" s="71">
        <f t="shared" si="2"/>
        <v>450.08</v>
      </c>
      <c r="O77" s="72">
        <f t="shared" si="3"/>
        <v>87.65</v>
      </c>
      <c r="P77" s="274">
        <f t="shared" si="4"/>
        <v>39449.512000000002</v>
      </c>
      <c r="Q77" s="291">
        <f t="shared" si="5"/>
        <v>467.49</v>
      </c>
    </row>
    <row r="78" spans="2:17" s="121" customFormat="1" ht="16.5" customHeight="1" x14ac:dyDescent="0.2">
      <c r="B78" s="120"/>
      <c r="C78" s="56" t="s">
        <v>279</v>
      </c>
      <c r="D78" s="56" t="s">
        <v>96</v>
      </c>
      <c r="E78" s="57" t="s">
        <v>390</v>
      </c>
      <c r="F78" s="58" t="s">
        <v>391</v>
      </c>
      <c r="G78" s="59" t="s">
        <v>133</v>
      </c>
      <c r="H78" s="60">
        <v>450.08</v>
      </c>
      <c r="I78" s="61">
        <v>72.34</v>
      </c>
      <c r="J78" s="60">
        <v>32558.799999999999</v>
      </c>
      <c r="K78" s="68">
        <v>0</v>
      </c>
      <c r="L78" s="69">
        <f t="shared" si="0"/>
        <v>72.34</v>
      </c>
      <c r="M78" s="273">
        <f t="shared" si="1"/>
        <v>0</v>
      </c>
      <c r="N78" s="71">
        <f t="shared" si="2"/>
        <v>450.08</v>
      </c>
      <c r="O78" s="72">
        <f t="shared" si="3"/>
        <v>72.34</v>
      </c>
      <c r="P78" s="274">
        <f t="shared" si="4"/>
        <v>32558.787199999999</v>
      </c>
      <c r="Q78" s="291">
        <f t="shared" si="5"/>
        <v>467.49</v>
      </c>
    </row>
    <row r="79" spans="2:17" s="170" customFormat="1" ht="22.9" customHeight="1" x14ac:dyDescent="0.2">
      <c r="B79" s="165"/>
      <c r="C79" s="252"/>
      <c r="D79" s="253" t="s">
        <v>4</v>
      </c>
      <c r="E79" s="254" t="s">
        <v>398</v>
      </c>
      <c r="F79" s="254" t="s">
        <v>399</v>
      </c>
      <c r="G79" s="252"/>
      <c r="H79" s="252"/>
      <c r="I79" s="255"/>
      <c r="J79" s="256">
        <f>+SUBTOTAL(9,J80:J82)</f>
        <v>91560.3</v>
      </c>
      <c r="K79" s="261"/>
      <c r="L79" s="262"/>
      <c r="M79" s="279">
        <f>SUM(M80:M82)</f>
        <v>-411.92050000000006</v>
      </c>
      <c r="N79" s="280"/>
      <c r="O79" s="262"/>
      <c r="P79" s="279">
        <f>SUM(P80:P82)</f>
        <v>91148.330699999991</v>
      </c>
      <c r="Q79" s="291">
        <f t="shared" si="5"/>
        <v>0</v>
      </c>
    </row>
    <row r="80" spans="2:17" s="121" customFormat="1" ht="16.5" customHeight="1" x14ac:dyDescent="0.2">
      <c r="B80" s="120"/>
      <c r="C80" s="56" t="s">
        <v>282</v>
      </c>
      <c r="D80" s="56" t="s">
        <v>96</v>
      </c>
      <c r="E80" s="57" t="s">
        <v>401</v>
      </c>
      <c r="F80" s="58" t="s">
        <v>402</v>
      </c>
      <c r="G80" s="59" t="s">
        <v>201</v>
      </c>
      <c r="H80" s="60">
        <v>232.78</v>
      </c>
      <c r="I80" s="61">
        <v>183.8</v>
      </c>
      <c r="J80" s="60">
        <v>42785</v>
      </c>
      <c r="K80" s="68">
        <f t="shared" ref="K80" si="11">ROUND(223.5/225*Q80-Q80,2)</f>
        <v>-1.61</v>
      </c>
      <c r="L80" s="69">
        <f t="shared" ref="L80:L84" si="12">I80</f>
        <v>183.8</v>
      </c>
      <c r="M80" s="273">
        <f t="shared" ref="M80:M84" si="13">K80*L80</f>
        <v>-295.91800000000006</v>
      </c>
      <c r="N80" s="71">
        <f t="shared" ref="N80:N84" si="14">H80+K80</f>
        <v>231.17</v>
      </c>
      <c r="O80" s="72">
        <f t="shared" ref="O80:O84" si="15">I80</f>
        <v>183.8</v>
      </c>
      <c r="P80" s="274">
        <f t="shared" ref="P80:P84" si="16">N80*O80</f>
        <v>42489.046000000002</v>
      </c>
      <c r="Q80" s="291">
        <f t="shared" ref="Q80:Q84" si="17">ROUND(225/216.62*H80,2)</f>
        <v>241.79</v>
      </c>
    </row>
    <row r="81" spans="2:17" s="121" customFormat="1" ht="16.5" customHeight="1" x14ac:dyDescent="0.2">
      <c r="B81" s="120"/>
      <c r="C81" s="56" t="s">
        <v>285</v>
      </c>
      <c r="D81" s="56" t="s">
        <v>96</v>
      </c>
      <c r="E81" s="57" t="s">
        <v>407</v>
      </c>
      <c r="F81" s="58" t="s">
        <v>408</v>
      </c>
      <c r="G81" s="59" t="s">
        <v>201</v>
      </c>
      <c r="H81" s="60">
        <v>123.86</v>
      </c>
      <c r="I81" s="61">
        <v>257.77999999999997</v>
      </c>
      <c r="J81" s="60">
        <v>31928.6</v>
      </c>
      <c r="K81" s="68">
        <v>0</v>
      </c>
      <c r="L81" s="69">
        <f t="shared" si="12"/>
        <v>257.77999999999997</v>
      </c>
      <c r="M81" s="273">
        <f t="shared" si="13"/>
        <v>0</v>
      </c>
      <c r="N81" s="71">
        <f t="shared" si="14"/>
        <v>123.86</v>
      </c>
      <c r="O81" s="72">
        <f t="shared" si="15"/>
        <v>257.77999999999997</v>
      </c>
      <c r="P81" s="274">
        <f t="shared" si="16"/>
        <v>31928.630799999995</v>
      </c>
      <c r="Q81" s="291">
        <f t="shared" si="17"/>
        <v>128.65</v>
      </c>
    </row>
    <row r="82" spans="2:17" s="121" customFormat="1" ht="16.5" customHeight="1" x14ac:dyDescent="0.2">
      <c r="B82" s="120"/>
      <c r="C82" s="56" t="s">
        <v>289</v>
      </c>
      <c r="D82" s="56" t="s">
        <v>96</v>
      </c>
      <c r="E82" s="57" t="s">
        <v>410</v>
      </c>
      <c r="F82" s="58" t="s">
        <v>411</v>
      </c>
      <c r="G82" s="59" t="s">
        <v>201</v>
      </c>
      <c r="H82" s="60">
        <v>108.92</v>
      </c>
      <c r="I82" s="61">
        <v>154.66999999999999</v>
      </c>
      <c r="J82" s="60">
        <v>16846.7</v>
      </c>
      <c r="K82" s="68">
        <f t="shared" ref="K82" si="18">ROUND(223.5/225*Q82-Q82,2)</f>
        <v>-0.75</v>
      </c>
      <c r="L82" s="69">
        <f t="shared" si="12"/>
        <v>154.66999999999999</v>
      </c>
      <c r="M82" s="273">
        <f t="shared" si="13"/>
        <v>-116.0025</v>
      </c>
      <c r="N82" s="71">
        <f t="shared" si="14"/>
        <v>108.17</v>
      </c>
      <c r="O82" s="72">
        <f t="shared" si="15"/>
        <v>154.66999999999999</v>
      </c>
      <c r="P82" s="274">
        <f t="shared" si="16"/>
        <v>16730.653899999998</v>
      </c>
      <c r="Q82" s="291">
        <f t="shared" si="17"/>
        <v>113.13</v>
      </c>
    </row>
    <row r="83" spans="2:17" s="170" customFormat="1" ht="22.9" customHeight="1" x14ac:dyDescent="0.2">
      <c r="B83" s="165"/>
      <c r="C83" s="252"/>
      <c r="D83" s="253" t="s">
        <v>4</v>
      </c>
      <c r="E83" s="254" t="s">
        <v>412</v>
      </c>
      <c r="F83" s="254" t="s">
        <v>413</v>
      </c>
      <c r="G83" s="252"/>
      <c r="H83" s="252"/>
      <c r="I83" s="255"/>
      <c r="J83" s="256">
        <f>+SUBTOTAL(9,J84)</f>
        <v>69854.600000000006</v>
      </c>
      <c r="K83" s="261"/>
      <c r="L83" s="262"/>
      <c r="M83" s="279">
        <f>M84</f>
        <v>-483.99660000000006</v>
      </c>
      <c r="N83" s="280"/>
      <c r="O83" s="262"/>
      <c r="P83" s="279">
        <f>P84</f>
        <v>69370.5576</v>
      </c>
      <c r="Q83" s="291">
        <f t="shared" si="17"/>
        <v>0</v>
      </c>
    </row>
    <row r="84" spans="2:17" s="121" customFormat="1" ht="16.5" customHeight="1" x14ac:dyDescent="0.2">
      <c r="B84" s="120"/>
      <c r="C84" s="56" t="s">
        <v>292</v>
      </c>
      <c r="D84" s="56" t="s">
        <v>96</v>
      </c>
      <c r="E84" s="57" t="s">
        <v>415</v>
      </c>
      <c r="F84" s="58" t="s">
        <v>416</v>
      </c>
      <c r="G84" s="59" t="s">
        <v>201</v>
      </c>
      <c r="H84" s="60">
        <v>610.51</v>
      </c>
      <c r="I84" s="61">
        <v>114.42</v>
      </c>
      <c r="J84" s="60">
        <v>69854.600000000006</v>
      </c>
      <c r="K84" s="68">
        <f t="shared" ref="K84" si="19">ROUND(223.5/225*Q84-Q84,2)</f>
        <v>-4.2300000000000004</v>
      </c>
      <c r="L84" s="69">
        <f t="shared" si="12"/>
        <v>114.42</v>
      </c>
      <c r="M84" s="273">
        <f t="shared" si="13"/>
        <v>-483.99660000000006</v>
      </c>
      <c r="N84" s="71">
        <f t="shared" si="14"/>
        <v>606.28</v>
      </c>
      <c r="O84" s="72">
        <f t="shared" si="15"/>
        <v>114.42</v>
      </c>
      <c r="P84" s="274">
        <f t="shared" si="16"/>
        <v>69370.5576</v>
      </c>
      <c r="Q84" s="291">
        <f t="shared" si="17"/>
        <v>634.13</v>
      </c>
    </row>
    <row r="85" spans="2:17" s="121" customFormat="1" ht="6.95" customHeight="1" x14ac:dyDescent="0.2">
      <c r="B85" s="120"/>
      <c r="C85" s="120"/>
      <c r="D85" s="120"/>
      <c r="E85" s="120"/>
      <c r="F85" s="120"/>
      <c r="G85" s="120"/>
      <c r="H85" s="120"/>
      <c r="I85" s="153"/>
      <c r="J85" s="120"/>
    </row>
    <row r="86" spans="2:17" ht="18" customHeight="1" x14ac:dyDescent="0.2">
      <c r="D86" s="42"/>
      <c r="E86" s="43" t="s">
        <v>893</v>
      </c>
      <c r="F86" s="44"/>
      <c r="G86" s="44"/>
      <c r="H86" s="45"/>
      <c r="I86" s="44"/>
      <c r="J86" s="281">
        <f>J83+J79+J76+J55+J49+J40+J37+J14</f>
        <v>2495950.0999999996</v>
      </c>
      <c r="K86" s="49"/>
      <c r="L86" s="46"/>
      <c r="M86" s="281">
        <f>M83+M79+M76+M55+M49+M40+M37+M14</f>
        <v>-11540.375799999998</v>
      </c>
      <c r="N86" s="49"/>
      <c r="O86" s="46"/>
      <c r="P86" s="281">
        <f>P83+P79+P76+P55+P49+P40+P37+P14</f>
        <v>2484409.7019999996</v>
      </c>
      <c r="Q86" s="281"/>
    </row>
    <row r="87" spans="2:17" ht="12.75" x14ac:dyDescent="0.2">
      <c r="H87" s="50"/>
      <c r="I87" s="8"/>
      <c r="J87" s="9"/>
    </row>
    <row r="88" spans="2:17" ht="14.25" x14ac:dyDescent="0.2">
      <c r="E88" s="6" t="s">
        <v>849</v>
      </c>
      <c r="F88" s="6"/>
      <c r="G88" s="320" t="s">
        <v>1224</v>
      </c>
      <c r="H88" s="50"/>
      <c r="I88" s="8"/>
      <c r="J88" s="6"/>
      <c r="K88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84" xr:uid="{00000000-0009-0000-0000-000012000000}"/>
  <mergeCells count="2">
    <mergeCell ref="K9:M9"/>
    <mergeCell ref="N9:P9"/>
  </mergeCells>
  <conditionalFormatting sqref="G88:I88 L88:P88">
    <cfRule type="cellIs" dxfId="451" priority="4" operator="lessThan">
      <formula>0</formula>
    </cfRule>
  </conditionalFormatting>
  <conditionalFormatting sqref="G88:I88 L88:M88">
    <cfRule type="cellIs" dxfId="450" priority="3" operator="lessThan">
      <formula>0</formula>
    </cfRule>
  </conditionalFormatting>
  <conditionalFormatting sqref="G88:I88">
    <cfRule type="cellIs" dxfId="449" priority="2" operator="lessThan">
      <formula>0</formula>
    </cfRule>
  </conditionalFormatting>
  <conditionalFormatting sqref="G88:I88">
    <cfRule type="cellIs" dxfId="448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4" fitToHeight="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W128"/>
  <sheetViews>
    <sheetView showGridLines="0" view="pageBreakPreview" zoomScale="80" zoomScaleNormal="100" zoomScaleSheetLayoutView="80" workbookViewId="0">
      <selection activeCell="K32" sqref="K32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11.33203125" style="8" customWidth="1"/>
    <col min="12" max="12" width="15" style="8" bestFit="1" customWidth="1"/>
    <col min="13" max="13" width="16.6640625" style="8" bestFit="1" customWidth="1"/>
    <col min="14" max="14" width="12.1640625" style="8" customWidth="1"/>
    <col min="15" max="15" width="17.1640625" style="8" customWidth="1"/>
    <col min="16" max="16" width="21.6640625" style="8" customWidth="1"/>
    <col min="17" max="17" width="24.5" style="8" hidden="1" customWidth="1"/>
    <col min="18" max="18" width="29" style="8" hidden="1" customWidth="1"/>
    <col min="19" max="19" width="28.83203125" style="8" hidden="1" customWidth="1"/>
    <col min="20" max="20" width="32.83203125" style="8" hidden="1" customWidth="1"/>
    <col min="21" max="21" width="20.1640625" style="8" hidden="1" customWidth="1"/>
    <col min="22" max="22" width="21.5" style="8" hidden="1" customWidth="1"/>
    <col min="23" max="23" width="67.33203125" style="8" hidden="1" customWidth="1"/>
    <col min="24" max="24" width="23.83203125" style="8" hidden="1" customWidth="1"/>
    <col min="25" max="25" width="27" style="8" hidden="1" customWidth="1"/>
    <col min="26" max="26" width="22" style="8" hidden="1" customWidth="1"/>
    <col min="27" max="27" width="29.5" style="8" hidden="1" customWidth="1"/>
    <col min="28" max="28" width="38.33203125" style="8" hidden="1" customWidth="1"/>
    <col min="29" max="29" width="0" style="8" hidden="1" customWidth="1"/>
    <col min="30" max="30" width="20.5" style="8" hidden="1" customWidth="1"/>
    <col min="31" max="32" width="0" style="8" hidden="1" customWidth="1"/>
    <col min="33" max="33" width="23.5" style="8" hidden="1" customWidth="1"/>
    <col min="34" max="34" width="20.5" style="87" hidden="1" customWidth="1"/>
    <col min="35" max="35" width="27.33203125" style="8" hidden="1" customWidth="1"/>
    <col min="36" max="38" width="0" style="8" hidden="1" customWidth="1"/>
    <col min="39" max="39" width="18.1640625" style="213" hidden="1" customWidth="1"/>
    <col min="40" max="40" width="23.5" style="213" hidden="1" customWidth="1"/>
    <col min="41" max="41" width="0" style="8" hidden="1" customWidth="1"/>
    <col min="42" max="42" width="26.83203125" style="8" hidden="1" customWidth="1"/>
    <col min="43" max="45" width="0" style="8" hidden="1" customWidth="1"/>
    <col min="46" max="46" width="23" style="8" hidden="1" customWidth="1"/>
    <col min="47" max="48" width="0" style="8" hidden="1" customWidth="1"/>
    <col min="49" max="49" width="9.6640625" style="8" bestFit="1" customWidth="1"/>
    <col min="50" max="16384" width="9.33203125" style="8"/>
  </cols>
  <sheetData>
    <row r="1" spans="2:49" ht="18.95" customHeight="1" x14ac:dyDescent="0.2">
      <c r="F1" s="11"/>
      <c r="G1" s="89"/>
      <c r="H1" s="88"/>
      <c r="I1" s="8"/>
      <c r="J1" s="9"/>
      <c r="K1" s="10"/>
      <c r="L1" s="10"/>
    </row>
    <row r="2" spans="2:49" s="88" customFormat="1" ht="18" customHeight="1" x14ac:dyDescent="0.25">
      <c r="E2" s="13"/>
      <c r="F2" s="11" t="s">
        <v>824</v>
      </c>
      <c r="G2" s="89" t="s">
        <v>975</v>
      </c>
      <c r="I2" s="91"/>
      <c r="J2" s="141"/>
      <c r="K2" s="90"/>
      <c r="L2" s="91"/>
      <c r="M2" s="93"/>
      <c r="N2" s="94"/>
      <c r="O2" s="95"/>
      <c r="P2" s="96"/>
      <c r="AH2" s="219"/>
      <c r="AM2" s="214"/>
      <c r="AN2" s="214"/>
    </row>
    <row r="3" spans="2:49" s="88" customFormat="1" ht="18" customHeight="1" x14ac:dyDescent="0.25">
      <c r="E3" s="13"/>
      <c r="F3" s="11" t="s">
        <v>826</v>
      </c>
      <c r="G3" s="89" t="s">
        <v>3</v>
      </c>
      <c r="H3" s="13"/>
      <c r="I3" s="91"/>
      <c r="J3" s="141"/>
      <c r="K3" s="90"/>
      <c r="L3" s="91"/>
      <c r="M3" s="93"/>
      <c r="N3" s="94"/>
      <c r="O3" s="95"/>
      <c r="P3" s="96"/>
      <c r="AH3" s="219"/>
      <c r="AM3" s="214"/>
      <c r="AN3" s="214"/>
    </row>
    <row r="4" spans="2:49" s="13" customFormat="1" ht="18" customHeight="1" x14ac:dyDescent="0.25">
      <c r="F4" s="1" t="s">
        <v>827</v>
      </c>
      <c r="G4" s="12" t="s">
        <v>828</v>
      </c>
      <c r="I4" s="91"/>
      <c r="J4" s="143"/>
      <c r="K4" s="98"/>
      <c r="L4" s="91"/>
      <c r="M4" s="100"/>
      <c r="N4" s="101"/>
      <c r="O4" s="102"/>
      <c r="P4" s="103"/>
      <c r="AH4" s="220"/>
      <c r="AM4" s="215"/>
      <c r="AN4" s="215"/>
    </row>
    <row r="5" spans="2:49" s="13" customFormat="1" ht="18" customHeight="1" x14ac:dyDescent="0.25">
      <c r="F5" s="1" t="s">
        <v>829</v>
      </c>
      <c r="G5" s="12" t="s">
        <v>830</v>
      </c>
      <c r="I5" s="91"/>
      <c r="J5" s="143"/>
      <c r="K5" s="98"/>
      <c r="L5" s="91"/>
      <c r="M5" s="100"/>
      <c r="N5" s="101"/>
      <c r="O5" s="102"/>
      <c r="P5" s="103"/>
      <c r="AH5" s="220"/>
      <c r="AM5" s="215"/>
      <c r="AN5" s="215"/>
    </row>
    <row r="6" spans="2:49" s="13" customFormat="1" ht="18" customHeight="1" x14ac:dyDescent="0.25">
      <c r="F6" s="11" t="s">
        <v>831</v>
      </c>
      <c r="G6" s="12" t="s">
        <v>832</v>
      </c>
      <c r="I6" s="91"/>
      <c r="J6" s="143"/>
      <c r="K6" s="98"/>
      <c r="L6" s="91"/>
      <c r="M6" s="100"/>
      <c r="N6" s="101"/>
      <c r="O6" s="102"/>
      <c r="P6" s="103"/>
      <c r="AH6" s="220"/>
      <c r="AM6" s="215"/>
      <c r="AN6" s="215"/>
    </row>
    <row r="7" spans="2:49" s="13" customFormat="1" ht="18" customHeight="1" x14ac:dyDescent="0.25">
      <c r="F7" s="11" t="s">
        <v>833</v>
      </c>
      <c r="G7" s="105" t="s">
        <v>834</v>
      </c>
      <c r="H7" s="145"/>
      <c r="I7" s="91"/>
      <c r="J7" s="143"/>
      <c r="K7" s="98"/>
      <c r="L7" s="91"/>
      <c r="M7" s="100"/>
      <c r="N7" s="101"/>
      <c r="O7" s="102"/>
      <c r="P7" s="103"/>
      <c r="AH7" s="220"/>
      <c r="AM7" s="215"/>
      <c r="AN7" s="215"/>
    </row>
    <row r="8" spans="2:49" s="14" customFormat="1" ht="18" customHeight="1" x14ac:dyDescent="0.2">
      <c r="D8" s="146"/>
      <c r="F8" s="242" t="s">
        <v>1207</v>
      </c>
      <c r="G8" s="105"/>
      <c r="H8" s="145"/>
      <c r="K8" s="147"/>
      <c r="L8" s="148"/>
      <c r="M8" s="321"/>
      <c r="N8" s="229"/>
      <c r="O8" s="149"/>
      <c r="P8" s="150"/>
      <c r="AH8" s="221"/>
      <c r="AM8" s="216"/>
      <c r="AN8" s="216"/>
    </row>
    <row r="9" spans="2:49" s="15" customFormat="1" ht="20.100000000000001" customHeight="1" x14ac:dyDescent="0.2">
      <c r="B9" s="174"/>
      <c r="C9" s="175"/>
      <c r="D9" s="176"/>
      <c r="E9" s="176"/>
      <c r="F9" s="176"/>
      <c r="G9" s="176"/>
      <c r="H9" s="176"/>
      <c r="I9" s="177"/>
      <c r="J9" s="178"/>
      <c r="K9" s="329" t="s">
        <v>1208</v>
      </c>
      <c r="L9" s="329"/>
      <c r="M9" s="230"/>
      <c r="N9" s="330" t="s">
        <v>1211</v>
      </c>
      <c r="O9" s="330"/>
      <c r="P9" s="331"/>
      <c r="AH9" s="222"/>
      <c r="AM9" s="217"/>
      <c r="AN9" s="217"/>
    </row>
    <row r="10" spans="2:49" s="15" customFormat="1" ht="24" customHeight="1" x14ac:dyDescent="0.2">
      <c r="B10" s="16"/>
      <c r="C10" s="17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31" t="s">
        <v>874</v>
      </c>
      <c r="L10" s="232" t="s">
        <v>1209</v>
      </c>
      <c r="M10" s="233" t="s">
        <v>1210</v>
      </c>
      <c r="N10" s="234" t="s">
        <v>874</v>
      </c>
      <c r="O10" s="235" t="s">
        <v>1209</v>
      </c>
      <c r="P10" s="236" t="s">
        <v>847</v>
      </c>
      <c r="Q10" s="189" t="s">
        <v>932</v>
      </c>
      <c r="R10" s="189" t="s">
        <v>935</v>
      </c>
      <c r="T10" s="189" t="s">
        <v>957</v>
      </c>
      <c r="W10" s="189" t="s">
        <v>976</v>
      </c>
      <c r="X10" s="206" t="s">
        <v>990</v>
      </c>
      <c r="Y10" s="189" t="s">
        <v>1003</v>
      </c>
      <c r="Z10" s="189" t="s">
        <v>1020</v>
      </c>
      <c r="AD10" s="189" t="s">
        <v>1044</v>
      </c>
      <c r="AG10" s="189" t="s">
        <v>1060</v>
      </c>
      <c r="AH10" s="222"/>
      <c r="AI10" s="189" t="s">
        <v>1089</v>
      </c>
      <c r="AM10" s="223" t="s">
        <v>1110</v>
      </c>
      <c r="AN10" s="217"/>
      <c r="AP10" s="189" t="s">
        <v>1163</v>
      </c>
      <c r="AT10" s="189" t="s">
        <v>1176</v>
      </c>
    </row>
    <row r="11" spans="2:49" s="15" customFormat="1" ht="12.75" x14ac:dyDescent="0.2">
      <c r="D11" s="29"/>
      <c r="E11" s="29"/>
      <c r="F11" s="29"/>
      <c r="G11" s="29"/>
      <c r="H11" s="30"/>
      <c r="I11" s="31"/>
      <c r="J11" s="32"/>
      <c r="K11" s="33"/>
      <c r="L11" s="34"/>
      <c r="M11" s="35"/>
      <c r="N11" s="37"/>
      <c r="O11" s="38"/>
      <c r="P11" s="39"/>
      <c r="AH11" s="222"/>
      <c r="AM11" s="217"/>
      <c r="AN11" s="217"/>
    </row>
    <row r="12" spans="2:49" s="121" customFormat="1" ht="22.9" customHeight="1" x14ac:dyDescent="0.25">
      <c r="B12" s="120"/>
      <c r="C12" s="152" t="s">
        <v>90</v>
      </c>
      <c r="D12" s="120"/>
      <c r="E12" s="120"/>
      <c r="F12" s="120"/>
      <c r="G12" s="120"/>
      <c r="H12" s="120"/>
      <c r="I12" s="153"/>
      <c r="J12" s="154">
        <f>+SUBTOTAL(9,J13:J124)</f>
        <v>15042099.699999997</v>
      </c>
      <c r="K12" s="155" t="str">
        <f>IF(ISBLANK(I12),"",SUM(#REF!+#REF!+#REF!+#REF!+#REF!+#REF!+#REF!+#REF!+#REF!+#REF!+#REF!+#REF!+#REF!+#REF!,#REF!,#REF!,#REF!,#REF!,#REF!,#REF!,#REF!,#REF!,#REF!))</f>
        <v/>
      </c>
      <c r="L12" s="156" t="str">
        <f t="shared" ref="L12:L14" si="0">IF(ISBLANK(I12),"",K12*I12)</f>
        <v/>
      </c>
      <c r="M12" s="158" t="str">
        <f>IF(ISBLANK($H12),"",#REF!*$I12)</f>
        <v/>
      </c>
      <c r="N12" s="158" t="str">
        <f>IF(ISBLANK($H12),"",#REF!*$I12)</f>
        <v/>
      </c>
      <c r="O12" s="161" t="str">
        <f>IF(ISBLANK(H12),"",SUM(#REF!+#REF!+#REF!+#REF!+#REF!+#REF!+#REF!+#REF!+#REF!+#REF!+#REF!+#REF!+#REF!+#REF!+#REF!,#REF!,#REF!,#REF!+#REF!,#REF!,#REF!,#REF!,#REF!,#REF!))</f>
        <v/>
      </c>
      <c r="P12" s="162" t="str">
        <f>IF(ISBLANK(H12),"",SUM(M12+#REF!+#REF!+#REF!+#REF!+#REF!+#REF!+#REF!+#REF!+#REF!+#REF!+#REF!+#REF!+#REF!,#REF!,#REF!,#REF!,#REF!,#REF!,#REF!,#REF!,#REF!,#REF!))</f>
        <v/>
      </c>
      <c r="S12" s="185"/>
      <c r="AD12" s="335"/>
      <c r="AM12" s="191"/>
      <c r="AN12" s="191"/>
    </row>
    <row r="13" spans="2:49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+SUBTOTAL(9,J14:J124)</f>
        <v>15042099.699999997</v>
      </c>
      <c r="K13" s="155" t="str">
        <f>IF(ISBLANK(I13),"",SUM(#REF!+#REF!+#REF!+#REF!+#REF!+#REF!+#REF!+#REF!+#REF!+#REF!+#REF!+#REF!+#REF!+#REF!,#REF!,#REF!,#REF!,#REF!,#REF!,#REF!,#REF!,#REF!,#REF!))</f>
        <v/>
      </c>
      <c r="L13" s="156" t="str">
        <f t="shared" si="0"/>
        <v/>
      </c>
      <c r="M13" s="158" t="str">
        <f>IF(ISBLANK($H13),"",#REF!*$I13)</f>
        <v/>
      </c>
      <c r="N13" s="158" t="str">
        <f>IF(ISBLANK($H13),"",#REF!*$I13)</f>
        <v/>
      </c>
      <c r="O13" s="161" t="str">
        <f>IF(ISBLANK(H13),"",SUM(#REF!+#REF!+#REF!+#REF!+#REF!+#REF!+#REF!+#REF!+#REF!+#REF!+#REF!+#REF!+#REF!+#REF!+#REF!,#REF!,#REF!,#REF!+#REF!,#REF!,#REF!,#REF!,#REF!,#REF!))</f>
        <v/>
      </c>
      <c r="P13" s="162" t="str">
        <f>IF(ISBLANK(H13),"",SUM(M13+#REF!+#REF!+#REF!+#REF!+#REF!+#REF!+#REF!+#REF!+#REF!+#REF!+#REF!+#REF!+#REF!,#REF!,#REF!,#REF!,#REF!,#REF!,#REF!,#REF!,#REF!,#REF!))</f>
        <v/>
      </c>
      <c r="S13" s="187"/>
      <c r="AD13" s="335"/>
      <c r="AM13" s="218"/>
      <c r="AN13" s="218"/>
    </row>
    <row r="14" spans="2:49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+SUBTOTAL(9,J15:J53)</f>
        <v>6884981.3000000007</v>
      </c>
      <c r="K14" s="268" t="str">
        <f>IF(ISBLANK(I14),"",SUM(#REF!+#REF!+#REF!+#REF!+#REF!+#REF!+#REF!+#REF!+#REF!+#REF!+#REF!+#REF!+#REF!+#REF!,#REF!,#REF!,#REF!,#REF!,#REF!,#REF!,#REF!,#REF!,#REF!))</f>
        <v/>
      </c>
      <c r="L14" s="269" t="str">
        <f t="shared" si="0"/>
        <v/>
      </c>
      <c r="M14" s="270">
        <f>SUM(M15:M53)</f>
        <v>42286.526915999988</v>
      </c>
      <c r="N14" s="270" t="str">
        <f>IF(ISBLANK($H14),"",#REF!*$I14)</f>
        <v/>
      </c>
      <c r="O14" s="271" t="str">
        <f>IF(ISBLANK(H14),"",SUM(#REF!+#REF!+#REF!+#REF!+#REF!+#REF!+#REF!+#REF!+#REF!+#REF!+#REF!+#REF!+#REF!+#REF!+#REF!,#REF!,#REF!,#REF!+#REF!,#REF!,#REF!,#REF!,#REF!,#REF!))</f>
        <v/>
      </c>
      <c r="P14" s="270">
        <f>SUM(P15:P53)</f>
        <v>6927267.7484159991</v>
      </c>
      <c r="S14" s="187"/>
      <c r="AD14" s="335"/>
      <c r="AM14" s="218"/>
      <c r="AN14" s="218"/>
      <c r="AW14" s="218" t="s">
        <v>1216</v>
      </c>
    </row>
    <row r="15" spans="2:49" s="121" customFormat="1" ht="16.5" customHeight="1" x14ac:dyDescent="0.2">
      <c r="B15" s="120"/>
      <c r="C15" s="56" t="s">
        <v>8</v>
      </c>
      <c r="D15" s="56" t="s">
        <v>96</v>
      </c>
      <c r="E15" s="57" t="s">
        <v>97</v>
      </c>
      <c r="F15" s="58" t="s">
        <v>98</v>
      </c>
      <c r="G15" s="59" t="s">
        <v>99</v>
      </c>
      <c r="H15" s="60">
        <v>10</v>
      </c>
      <c r="I15" s="61">
        <v>657.61</v>
      </c>
      <c r="J15" s="60">
        <v>6576.1</v>
      </c>
      <c r="K15" s="237">
        <v>0</v>
      </c>
      <c r="L15" s="238">
        <f>I15</f>
        <v>657.61</v>
      </c>
      <c r="M15" s="239">
        <f>K15*L15</f>
        <v>0</v>
      </c>
      <c r="N15" s="243">
        <f>H15+K15</f>
        <v>10</v>
      </c>
      <c r="O15" s="240">
        <f>I15</f>
        <v>657.61</v>
      </c>
      <c r="P15" s="241">
        <f>N15*O15</f>
        <v>6576.1</v>
      </c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M15" s="191"/>
      <c r="AN15" s="191"/>
      <c r="AU15" s="194"/>
    </row>
    <row r="16" spans="2:49" s="121" customFormat="1" ht="16.5" customHeight="1" x14ac:dyDescent="0.2">
      <c r="B16" s="120"/>
      <c r="C16" s="56" t="s">
        <v>13</v>
      </c>
      <c r="D16" s="56" t="s">
        <v>96</v>
      </c>
      <c r="E16" s="57" t="s">
        <v>101</v>
      </c>
      <c r="F16" s="58" t="s">
        <v>102</v>
      </c>
      <c r="G16" s="59" t="s">
        <v>99</v>
      </c>
      <c r="H16" s="60">
        <v>20</v>
      </c>
      <c r="I16" s="61">
        <v>1720.31</v>
      </c>
      <c r="J16" s="60">
        <v>34406.199999999997</v>
      </c>
      <c r="K16" s="237">
        <v>0</v>
      </c>
      <c r="L16" s="238">
        <f t="shared" ref="L16:L79" si="1">I16</f>
        <v>1720.31</v>
      </c>
      <c r="M16" s="239">
        <f t="shared" ref="M16:M79" si="2">K16*L16</f>
        <v>0</v>
      </c>
      <c r="N16" s="243">
        <f t="shared" ref="N16:N79" si="3">H16+K16</f>
        <v>20</v>
      </c>
      <c r="O16" s="240">
        <f t="shared" ref="O16:O79" si="4">I16</f>
        <v>1720.31</v>
      </c>
      <c r="P16" s="241">
        <f t="shared" ref="P16:P79" si="5">N16*O16</f>
        <v>34406.199999999997</v>
      </c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M16" s="191"/>
      <c r="AN16" s="191"/>
      <c r="AU16" s="194"/>
    </row>
    <row r="17" spans="2:49" s="121" customFormat="1" ht="16.5" customHeight="1" x14ac:dyDescent="0.2">
      <c r="B17" s="120"/>
      <c r="C17" s="56" t="s">
        <v>100</v>
      </c>
      <c r="D17" s="56" t="s">
        <v>96</v>
      </c>
      <c r="E17" s="57" t="s">
        <v>103</v>
      </c>
      <c r="F17" s="58" t="s">
        <v>104</v>
      </c>
      <c r="G17" s="59" t="s">
        <v>99</v>
      </c>
      <c r="H17" s="60">
        <v>10</v>
      </c>
      <c r="I17" s="61">
        <v>4085.07</v>
      </c>
      <c r="J17" s="60">
        <v>40850.699999999997</v>
      </c>
      <c r="K17" s="237">
        <v>0</v>
      </c>
      <c r="L17" s="238">
        <f t="shared" si="1"/>
        <v>4085.07</v>
      </c>
      <c r="M17" s="239">
        <f t="shared" si="2"/>
        <v>0</v>
      </c>
      <c r="N17" s="243">
        <f t="shared" si="3"/>
        <v>10</v>
      </c>
      <c r="O17" s="240">
        <f t="shared" si="4"/>
        <v>4085.07</v>
      </c>
      <c r="P17" s="241">
        <f t="shared" si="5"/>
        <v>40850.700000000004</v>
      </c>
      <c r="Q17" s="185"/>
      <c r="R17" s="185"/>
      <c r="S17" s="185"/>
      <c r="T17" s="185"/>
      <c r="U17" s="185"/>
      <c r="V17" s="185"/>
      <c r="W17" s="185"/>
      <c r="X17" s="185"/>
      <c r="Y17" s="185"/>
      <c r="Z17" s="185"/>
      <c r="AA17" s="185"/>
      <c r="AM17" s="191"/>
      <c r="AN17" s="191"/>
      <c r="AU17" s="194"/>
    </row>
    <row r="18" spans="2:49" s="121" customFormat="1" ht="18" customHeight="1" x14ac:dyDescent="0.2">
      <c r="B18" s="120"/>
      <c r="C18" s="56" t="s">
        <v>105</v>
      </c>
      <c r="D18" s="56" t="s">
        <v>96</v>
      </c>
      <c r="E18" s="57" t="s">
        <v>106</v>
      </c>
      <c r="F18" s="58" t="s">
        <v>107</v>
      </c>
      <c r="G18" s="59" t="s">
        <v>108</v>
      </c>
      <c r="H18" s="60">
        <v>142.11000000000001</v>
      </c>
      <c r="I18" s="61">
        <v>31.57</v>
      </c>
      <c r="J18" s="60">
        <v>4486.3999999999996</v>
      </c>
      <c r="K18" s="237">
        <v>0.88</v>
      </c>
      <c r="L18" s="238">
        <f t="shared" si="1"/>
        <v>31.57</v>
      </c>
      <c r="M18" s="239">
        <f t="shared" si="2"/>
        <v>27.781600000000001</v>
      </c>
      <c r="N18" s="243">
        <f t="shared" si="3"/>
        <v>142.99</v>
      </c>
      <c r="O18" s="240">
        <f t="shared" si="4"/>
        <v>31.57</v>
      </c>
      <c r="P18" s="241">
        <f t="shared" si="5"/>
        <v>4514.1943000000001</v>
      </c>
      <c r="Q18" s="185"/>
      <c r="R18" s="185"/>
      <c r="S18" s="185"/>
      <c r="T18" s="185"/>
      <c r="U18" s="185"/>
      <c r="V18" s="185"/>
      <c r="W18" s="185"/>
      <c r="X18" s="185"/>
      <c r="Y18" s="185"/>
      <c r="Z18" s="185"/>
      <c r="AA18" s="185"/>
      <c r="AD18" s="190" t="s">
        <v>1045</v>
      </c>
      <c r="AE18" s="121" t="s">
        <v>925</v>
      </c>
      <c r="AM18" s="191"/>
      <c r="AN18" s="191"/>
      <c r="AU18" s="194"/>
      <c r="AW18" s="237">
        <f>ROUND(1357/1286.98*H18,2)</f>
        <v>149.84</v>
      </c>
    </row>
    <row r="19" spans="2:49" s="121" customFormat="1" ht="16.5" customHeight="1" x14ac:dyDescent="0.2">
      <c r="B19" s="120"/>
      <c r="C19" s="56" t="s">
        <v>109</v>
      </c>
      <c r="D19" s="56" t="s">
        <v>96</v>
      </c>
      <c r="E19" s="57" t="s">
        <v>110</v>
      </c>
      <c r="F19" s="58" t="s">
        <v>111</v>
      </c>
      <c r="G19" s="59" t="s">
        <v>108</v>
      </c>
      <c r="H19" s="60">
        <v>142.11000000000001</v>
      </c>
      <c r="I19" s="61">
        <v>23.67</v>
      </c>
      <c r="J19" s="60">
        <v>3363.7</v>
      </c>
      <c r="K19" s="237">
        <v>0.88</v>
      </c>
      <c r="L19" s="238">
        <f t="shared" si="1"/>
        <v>23.67</v>
      </c>
      <c r="M19" s="239">
        <f t="shared" si="2"/>
        <v>20.829600000000003</v>
      </c>
      <c r="N19" s="243">
        <f t="shared" si="3"/>
        <v>142.99</v>
      </c>
      <c r="O19" s="240">
        <f t="shared" si="4"/>
        <v>23.67</v>
      </c>
      <c r="P19" s="241">
        <f t="shared" si="5"/>
        <v>3384.5733000000005</v>
      </c>
      <c r="Q19" s="185"/>
      <c r="R19" s="185"/>
      <c r="S19" s="185"/>
      <c r="T19" s="185"/>
      <c r="U19" s="185"/>
      <c r="V19" s="185"/>
      <c r="W19" s="185"/>
      <c r="X19" s="185"/>
      <c r="Y19" s="185"/>
      <c r="Z19" s="185"/>
      <c r="AA19" s="185"/>
      <c r="AM19" s="191"/>
      <c r="AN19" s="191"/>
      <c r="AU19" s="194"/>
      <c r="AW19" s="237">
        <f t="shared" ref="AW19:AW58" si="6">ROUND(1357/1286.98*H19,2)</f>
        <v>149.84</v>
      </c>
    </row>
    <row r="20" spans="2:49" s="121" customFormat="1" ht="16.5" customHeight="1" x14ac:dyDescent="0.2">
      <c r="B20" s="120"/>
      <c r="C20" s="56" t="s">
        <v>112</v>
      </c>
      <c r="D20" s="56" t="s">
        <v>96</v>
      </c>
      <c r="E20" s="57" t="s">
        <v>113</v>
      </c>
      <c r="F20" s="58" t="s">
        <v>114</v>
      </c>
      <c r="G20" s="59" t="s">
        <v>108</v>
      </c>
      <c r="H20" s="60">
        <v>142.11000000000001</v>
      </c>
      <c r="I20" s="61">
        <v>26.3</v>
      </c>
      <c r="J20" s="60">
        <v>3737.5</v>
      </c>
      <c r="K20" s="237">
        <v>0.88</v>
      </c>
      <c r="L20" s="238">
        <f t="shared" si="1"/>
        <v>26.3</v>
      </c>
      <c r="M20" s="239">
        <f t="shared" si="2"/>
        <v>23.144000000000002</v>
      </c>
      <c r="N20" s="243">
        <f t="shared" si="3"/>
        <v>142.99</v>
      </c>
      <c r="O20" s="240">
        <f t="shared" si="4"/>
        <v>26.3</v>
      </c>
      <c r="P20" s="241">
        <f t="shared" si="5"/>
        <v>3760.6370000000002</v>
      </c>
      <c r="Q20" s="185"/>
      <c r="R20" s="185"/>
      <c r="S20" s="185"/>
      <c r="T20" s="185"/>
      <c r="U20" s="185"/>
      <c r="V20" s="185"/>
      <c r="W20" s="185"/>
      <c r="X20" s="185"/>
      <c r="Y20" s="185"/>
      <c r="Z20" s="185"/>
      <c r="AA20" s="185"/>
      <c r="AD20" s="211">
        <v>0.05</v>
      </c>
      <c r="AE20" s="121" t="s">
        <v>925</v>
      </c>
      <c r="AM20" s="191"/>
      <c r="AN20" s="191"/>
      <c r="AU20" s="194"/>
      <c r="AW20" s="237">
        <f t="shared" si="6"/>
        <v>149.84</v>
      </c>
    </row>
    <row r="21" spans="2:49" s="121" customFormat="1" ht="16.5" customHeight="1" x14ac:dyDescent="0.2">
      <c r="B21" s="120"/>
      <c r="C21" s="56" t="s">
        <v>115</v>
      </c>
      <c r="D21" s="56" t="s">
        <v>96</v>
      </c>
      <c r="E21" s="57" t="s">
        <v>116</v>
      </c>
      <c r="F21" s="58" t="s">
        <v>117</v>
      </c>
      <c r="G21" s="59" t="s">
        <v>108</v>
      </c>
      <c r="H21" s="60">
        <v>860.77</v>
      </c>
      <c r="I21" s="61">
        <v>40.770000000000003</v>
      </c>
      <c r="J21" s="60">
        <v>35093.599999999999</v>
      </c>
      <c r="K21" s="237">
        <v>5.35</v>
      </c>
      <c r="L21" s="238">
        <f t="shared" si="1"/>
        <v>40.770000000000003</v>
      </c>
      <c r="M21" s="239">
        <f t="shared" si="2"/>
        <v>218.11950000000002</v>
      </c>
      <c r="N21" s="243">
        <f t="shared" si="3"/>
        <v>866.12</v>
      </c>
      <c r="O21" s="240">
        <f t="shared" si="4"/>
        <v>40.770000000000003</v>
      </c>
      <c r="P21" s="241">
        <f t="shared" si="5"/>
        <v>35311.712400000004</v>
      </c>
      <c r="Q21" s="185"/>
      <c r="R21" s="185"/>
      <c r="S21" s="185"/>
      <c r="T21" s="185"/>
      <c r="U21" s="185"/>
      <c r="V21" s="185"/>
      <c r="W21" s="185"/>
      <c r="X21" s="185"/>
      <c r="Y21" s="185"/>
      <c r="Z21" s="185"/>
      <c r="AA21" s="185"/>
      <c r="AG21" s="186" t="s">
        <v>1061</v>
      </c>
      <c r="AM21" s="191"/>
      <c r="AN21" s="191"/>
      <c r="AU21" s="194"/>
      <c r="AW21" s="237">
        <f t="shared" si="6"/>
        <v>907.6</v>
      </c>
    </row>
    <row r="22" spans="2:49" s="121" customFormat="1" ht="22.5" x14ac:dyDescent="0.2">
      <c r="B22" s="120"/>
      <c r="C22" s="56" t="s">
        <v>118</v>
      </c>
      <c r="D22" s="56" t="s">
        <v>96</v>
      </c>
      <c r="E22" s="57" t="s">
        <v>119</v>
      </c>
      <c r="F22" s="58" t="s">
        <v>120</v>
      </c>
      <c r="G22" s="59" t="s">
        <v>108</v>
      </c>
      <c r="H22" s="60">
        <v>167.22</v>
      </c>
      <c r="I22" s="61">
        <v>53.92</v>
      </c>
      <c r="J22" s="60">
        <v>9016.5</v>
      </c>
      <c r="K22" s="237">
        <v>1.04</v>
      </c>
      <c r="L22" s="238">
        <f t="shared" si="1"/>
        <v>53.92</v>
      </c>
      <c r="M22" s="239">
        <f t="shared" si="2"/>
        <v>56.076800000000006</v>
      </c>
      <c r="N22" s="243">
        <f t="shared" si="3"/>
        <v>168.26</v>
      </c>
      <c r="O22" s="240">
        <f t="shared" si="4"/>
        <v>53.92</v>
      </c>
      <c r="P22" s="241">
        <f t="shared" si="5"/>
        <v>9072.5792000000001</v>
      </c>
      <c r="Q22" s="185"/>
      <c r="R22" s="185"/>
      <c r="S22" s="185"/>
      <c r="T22" s="185"/>
      <c r="U22" s="185"/>
      <c r="V22" s="185"/>
      <c r="W22" s="185"/>
      <c r="X22" s="185"/>
      <c r="Y22" s="185"/>
      <c r="Z22" s="185"/>
      <c r="AA22" s="185"/>
      <c r="AG22" s="186" t="s">
        <v>1062</v>
      </c>
      <c r="AH22" s="121" t="s">
        <v>1076</v>
      </c>
      <c r="AI22" s="190" t="s">
        <v>1090</v>
      </c>
      <c r="AJ22" s="121" t="s">
        <v>1101</v>
      </c>
      <c r="AM22" s="191"/>
      <c r="AN22" s="191"/>
      <c r="AT22" s="186" t="s">
        <v>1177</v>
      </c>
      <c r="AU22" s="194"/>
      <c r="AW22" s="237">
        <f t="shared" si="6"/>
        <v>176.32</v>
      </c>
    </row>
    <row r="23" spans="2:49" s="121" customFormat="1" ht="16.5" customHeight="1" x14ac:dyDescent="0.2">
      <c r="B23" s="120"/>
      <c r="C23" s="56" t="s">
        <v>121</v>
      </c>
      <c r="D23" s="56" t="s">
        <v>96</v>
      </c>
      <c r="E23" s="57" t="s">
        <v>122</v>
      </c>
      <c r="F23" s="58" t="s">
        <v>123</v>
      </c>
      <c r="G23" s="59" t="s">
        <v>108</v>
      </c>
      <c r="H23" s="60">
        <v>19.420000000000002</v>
      </c>
      <c r="I23" s="61">
        <v>336.7</v>
      </c>
      <c r="J23" s="60">
        <v>6538.7</v>
      </c>
      <c r="K23" s="237">
        <v>0.12</v>
      </c>
      <c r="L23" s="238">
        <f t="shared" si="1"/>
        <v>336.7</v>
      </c>
      <c r="M23" s="239">
        <f t="shared" si="2"/>
        <v>40.403999999999996</v>
      </c>
      <c r="N23" s="243">
        <f t="shared" si="3"/>
        <v>19.540000000000003</v>
      </c>
      <c r="O23" s="240">
        <f t="shared" si="4"/>
        <v>336.7</v>
      </c>
      <c r="P23" s="241">
        <f t="shared" si="5"/>
        <v>6579.1180000000004</v>
      </c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D23" s="186" t="s">
        <v>1046</v>
      </c>
      <c r="AE23" s="121" t="s">
        <v>925</v>
      </c>
      <c r="AG23" s="186" t="s">
        <v>1061</v>
      </c>
      <c r="AM23" s="191"/>
      <c r="AN23" s="191"/>
      <c r="AU23" s="194"/>
      <c r="AW23" s="237">
        <f t="shared" si="6"/>
        <v>20.48</v>
      </c>
    </row>
    <row r="24" spans="2:49" s="121" customFormat="1" ht="16.5" customHeight="1" x14ac:dyDescent="0.2">
      <c r="B24" s="120"/>
      <c r="C24" s="56" t="s">
        <v>124</v>
      </c>
      <c r="D24" s="56" t="s">
        <v>96</v>
      </c>
      <c r="E24" s="57" t="s">
        <v>125</v>
      </c>
      <c r="F24" s="58" t="s">
        <v>126</v>
      </c>
      <c r="G24" s="59" t="s">
        <v>108</v>
      </c>
      <c r="H24" s="60">
        <v>1324.05</v>
      </c>
      <c r="I24" s="61">
        <v>55.24</v>
      </c>
      <c r="J24" s="60">
        <v>73140.5</v>
      </c>
      <c r="K24" s="237">
        <v>8.23</v>
      </c>
      <c r="L24" s="238">
        <f t="shared" si="1"/>
        <v>55.24</v>
      </c>
      <c r="M24" s="239">
        <f t="shared" si="2"/>
        <v>454.62520000000006</v>
      </c>
      <c r="N24" s="243">
        <f t="shared" si="3"/>
        <v>1332.28</v>
      </c>
      <c r="O24" s="240">
        <f t="shared" si="4"/>
        <v>55.24</v>
      </c>
      <c r="P24" s="241">
        <f t="shared" si="5"/>
        <v>73595.147200000007</v>
      </c>
      <c r="Q24" s="185"/>
      <c r="R24" s="185"/>
      <c r="S24" s="185"/>
      <c r="T24" s="185"/>
      <c r="U24" s="185"/>
      <c r="V24" s="185"/>
      <c r="W24" s="185"/>
      <c r="X24" s="185"/>
      <c r="Y24" s="185"/>
      <c r="Z24" s="185"/>
      <c r="AA24" s="185"/>
      <c r="AM24" s="191"/>
      <c r="AN24" s="191"/>
      <c r="AU24" s="194"/>
      <c r="AW24" s="237">
        <f t="shared" si="6"/>
        <v>1396.09</v>
      </c>
    </row>
    <row r="25" spans="2:49" s="121" customFormat="1" ht="16.5" customHeight="1" x14ac:dyDescent="0.2">
      <c r="B25" s="120"/>
      <c r="C25" s="56" t="s">
        <v>127</v>
      </c>
      <c r="D25" s="56" t="s">
        <v>96</v>
      </c>
      <c r="E25" s="57" t="s">
        <v>128</v>
      </c>
      <c r="F25" s="58" t="s">
        <v>129</v>
      </c>
      <c r="G25" s="59" t="s">
        <v>108</v>
      </c>
      <c r="H25" s="60">
        <v>693.55</v>
      </c>
      <c r="I25" s="61">
        <v>98.64</v>
      </c>
      <c r="J25" s="60">
        <v>68411.8</v>
      </c>
      <c r="K25" s="237">
        <v>4.3099999999999996</v>
      </c>
      <c r="L25" s="238">
        <f t="shared" si="1"/>
        <v>98.64</v>
      </c>
      <c r="M25" s="239">
        <f t="shared" si="2"/>
        <v>425.13839999999999</v>
      </c>
      <c r="N25" s="243">
        <f t="shared" si="3"/>
        <v>697.8599999999999</v>
      </c>
      <c r="O25" s="240">
        <f t="shared" si="4"/>
        <v>98.64</v>
      </c>
      <c r="P25" s="241">
        <f t="shared" si="5"/>
        <v>68836.910399999993</v>
      </c>
      <c r="Q25" s="185"/>
      <c r="R25" s="185"/>
      <c r="S25" s="185"/>
      <c r="T25" s="185"/>
      <c r="U25" s="185"/>
      <c r="V25" s="185"/>
      <c r="W25" s="185"/>
      <c r="X25" s="185"/>
      <c r="Y25" s="185"/>
      <c r="Z25" s="185"/>
      <c r="AA25" s="185"/>
      <c r="AM25" s="191"/>
      <c r="AN25" s="191"/>
      <c r="AU25" s="194"/>
      <c r="AW25" s="237">
        <f t="shared" si="6"/>
        <v>731.28</v>
      </c>
    </row>
    <row r="26" spans="2:49" s="121" customFormat="1" ht="16.5" customHeight="1" x14ac:dyDescent="0.2">
      <c r="B26" s="120"/>
      <c r="C26" s="56" t="s">
        <v>130</v>
      </c>
      <c r="D26" s="56" t="s">
        <v>96</v>
      </c>
      <c r="E26" s="57" t="s">
        <v>131</v>
      </c>
      <c r="F26" s="58" t="s">
        <v>132</v>
      </c>
      <c r="G26" s="59" t="s">
        <v>133</v>
      </c>
      <c r="H26" s="60">
        <v>20</v>
      </c>
      <c r="I26" s="61">
        <v>478.74</v>
      </c>
      <c r="J26" s="60">
        <v>9574.7999999999993</v>
      </c>
      <c r="K26" s="237">
        <v>0.115</v>
      </c>
      <c r="L26" s="238">
        <f t="shared" si="1"/>
        <v>478.74</v>
      </c>
      <c r="M26" s="239">
        <f t="shared" si="2"/>
        <v>55.055100000000003</v>
      </c>
      <c r="N26" s="243">
        <f t="shared" si="3"/>
        <v>20.114999999999998</v>
      </c>
      <c r="O26" s="240">
        <f t="shared" si="4"/>
        <v>478.74</v>
      </c>
      <c r="P26" s="241">
        <f t="shared" si="5"/>
        <v>9629.8550999999989</v>
      </c>
      <c r="Q26" s="185"/>
      <c r="R26" s="185"/>
      <c r="S26" s="185"/>
      <c r="T26" s="185"/>
      <c r="U26" s="185"/>
      <c r="V26" s="185"/>
      <c r="W26" s="185"/>
      <c r="X26" s="185"/>
      <c r="Y26" s="185"/>
      <c r="Z26" s="185"/>
      <c r="AA26" s="185"/>
      <c r="AM26" s="191"/>
      <c r="AN26" s="191"/>
      <c r="AU26" s="194"/>
      <c r="AW26" s="237">
        <f t="shared" si="6"/>
        <v>21.09</v>
      </c>
    </row>
    <row r="27" spans="2:49" s="121" customFormat="1" ht="22.5" customHeight="1" x14ac:dyDescent="0.2">
      <c r="B27" s="120"/>
      <c r="C27" s="56" t="s">
        <v>134</v>
      </c>
      <c r="D27" s="56" t="s">
        <v>96</v>
      </c>
      <c r="E27" s="57" t="s">
        <v>135</v>
      </c>
      <c r="F27" s="58" t="s">
        <v>136</v>
      </c>
      <c r="G27" s="59" t="s">
        <v>137</v>
      </c>
      <c r="H27" s="60">
        <v>80</v>
      </c>
      <c r="I27" s="61">
        <v>63.13</v>
      </c>
      <c r="J27" s="60">
        <v>5050.3999999999996</v>
      </c>
      <c r="K27" s="237">
        <v>0.5</v>
      </c>
      <c r="L27" s="238">
        <f t="shared" si="1"/>
        <v>63.13</v>
      </c>
      <c r="M27" s="239">
        <f t="shared" si="2"/>
        <v>31.565000000000001</v>
      </c>
      <c r="N27" s="243">
        <f t="shared" si="3"/>
        <v>80.5</v>
      </c>
      <c r="O27" s="240">
        <f t="shared" si="4"/>
        <v>63.13</v>
      </c>
      <c r="P27" s="241">
        <f t="shared" si="5"/>
        <v>5081.9650000000001</v>
      </c>
      <c r="Q27" s="185"/>
      <c r="R27" s="185"/>
      <c r="S27" s="185"/>
      <c r="T27" s="185"/>
      <c r="U27" s="185"/>
      <c r="V27" s="185"/>
      <c r="W27" s="185"/>
      <c r="X27" s="185"/>
      <c r="Y27" s="185"/>
      <c r="Z27" s="185"/>
      <c r="AA27" s="185"/>
      <c r="AD27" s="334" t="s">
        <v>1047</v>
      </c>
      <c r="AE27" s="336" t="s">
        <v>1058</v>
      </c>
      <c r="AG27" s="190" t="s">
        <v>1063</v>
      </c>
      <c r="AH27" s="333" t="s">
        <v>1077</v>
      </c>
      <c r="AI27" s="334" t="s">
        <v>1091</v>
      </c>
      <c r="AJ27" s="333" t="s">
        <v>1102</v>
      </c>
      <c r="AM27" s="191"/>
      <c r="AN27" s="191"/>
      <c r="AU27" s="194"/>
      <c r="AW27" s="237">
        <f t="shared" si="6"/>
        <v>84.35</v>
      </c>
    </row>
    <row r="28" spans="2:49" s="121" customFormat="1" ht="23.25" customHeight="1" x14ac:dyDescent="0.2">
      <c r="B28" s="120"/>
      <c r="C28" s="56" t="s">
        <v>2</v>
      </c>
      <c r="D28" s="56" t="s">
        <v>96</v>
      </c>
      <c r="E28" s="57" t="s">
        <v>138</v>
      </c>
      <c r="F28" s="58" t="s">
        <v>139</v>
      </c>
      <c r="G28" s="59" t="s">
        <v>140</v>
      </c>
      <c r="H28" s="60">
        <v>10</v>
      </c>
      <c r="I28" s="61">
        <v>195.97</v>
      </c>
      <c r="J28" s="60">
        <v>1959.7</v>
      </c>
      <c r="K28" s="237">
        <v>0.06</v>
      </c>
      <c r="L28" s="238">
        <f t="shared" si="1"/>
        <v>195.97</v>
      </c>
      <c r="M28" s="239">
        <f t="shared" si="2"/>
        <v>11.758199999999999</v>
      </c>
      <c r="N28" s="243">
        <f t="shared" si="3"/>
        <v>10.06</v>
      </c>
      <c r="O28" s="240">
        <f t="shared" si="4"/>
        <v>195.97</v>
      </c>
      <c r="P28" s="241">
        <f t="shared" si="5"/>
        <v>1971.4582</v>
      </c>
      <c r="Q28" s="185"/>
      <c r="R28" s="185"/>
      <c r="S28" s="185"/>
      <c r="T28" s="185"/>
      <c r="U28" s="185"/>
      <c r="V28" s="185"/>
      <c r="W28" s="185"/>
      <c r="X28" s="185"/>
      <c r="Y28" s="185"/>
      <c r="Z28" s="185"/>
      <c r="AA28" s="185"/>
      <c r="AD28" s="334"/>
      <c r="AE28" s="336"/>
      <c r="AG28" s="190" t="s">
        <v>1063</v>
      </c>
      <c r="AH28" s="333"/>
      <c r="AI28" s="334"/>
      <c r="AJ28" s="333"/>
      <c r="AM28" s="191"/>
      <c r="AN28" s="191"/>
      <c r="AU28" s="194"/>
      <c r="AW28" s="237">
        <f t="shared" si="6"/>
        <v>10.54</v>
      </c>
    </row>
    <row r="29" spans="2:49" s="121" customFormat="1" ht="16.5" customHeight="1" x14ac:dyDescent="0.2">
      <c r="B29" s="120"/>
      <c r="C29" s="56" t="s">
        <v>141</v>
      </c>
      <c r="D29" s="56" t="s">
        <v>96</v>
      </c>
      <c r="E29" s="57" t="s">
        <v>142</v>
      </c>
      <c r="F29" s="58" t="s">
        <v>143</v>
      </c>
      <c r="G29" s="59" t="s">
        <v>133</v>
      </c>
      <c r="H29" s="60">
        <v>25.3</v>
      </c>
      <c r="I29" s="61">
        <v>170.98</v>
      </c>
      <c r="J29" s="60">
        <v>4325.8</v>
      </c>
      <c r="K29" s="237">
        <v>0.16</v>
      </c>
      <c r="L29" s="238">
        <f t="shared" si="1"/>
        <v>170.98</v>
      </c>
      <c r="M29" s="239">
        <f t="shared" si="2"/>
        <v>27.3568</v>
      </c>
      <c r="N29" s="243">
        <f t="shared" si="3"/>
        <v>25.46</v>
      </c>
      <c r="O29" s="240">
        <f t="shared" si="4"/>
        <v>170.98</v>
      </c>
      <c r="P29" s="241">
        <f t="shared" si="5"/>
        <v>4353.1507999999994</v>
      </c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M29" s="191"/>
      <c r="AN29" s="191"/>
      <c r="AU29" s="194"/>
      <c r="AW29" s="237">
        <f t="shared" si="6"/>
        <v>26.68</v>
      </c>
    </row>
    <row r="30" spans="2:49" s="121" customFormat="1" ht="16.5" customHeight="1" x14ac:dyDescent="0.2">
      <c r="B30" s="120"/>
      <c r="C30" s="56" t="s">
        <v>144</v>
      </c>
      <c r="D30" s="56" t="s">
        <v>96</v>
      </c>
      <c r="E30" s="57" t="s">
        <v>145</v>
      </c>
      <c r="F30" s="58" t="s">
        <v>146</v>
      </c>
      <c r="G30" s="59" t="s">
        <v>133</v>
      </c>
      <c r="H30" s="60">
        <v>28.6</v>
      </c>
      <c r="I30" s="61">
        <v>147.30000000000001</v>
      </c>
      <c r="J30" s="60">
        <v>4212.8</v>
      </c>
      <c r="K30" s="237">
        <f t="shared" ref="K19:K58" si="7">ROUND(1365/1357*AW30-AW30,2)</f>
        <v>0.18</v>
      </c>
      <c r="L30" s="238">
        <f t="shared" si="1"/>
        <v>147.30000000000001</v>
      </c>
      <c r="M30" s="239">
        <f t="shared" si="2"/>
        <v>26.513999999999999</v>
      </c>
      <c r="N30" s="243">
        <f t="shared" si="3"/>
        <v>28.78</v>
      </c>
      <c r="O30" s="240">
        <f t="shared" si="4"/>
        <v>147.30000000000001</v>
      </c>
      <c r="P30" s="241">
        <f t="shared" si="5"/>
        <v>4239.2940000000008</v>
      </c>
      <c r="Q30" s="185"/>
      <c r="R30" s="185"/>
      <c r="S30" s="185"/>
      <c r="T30" s="185"/>
      <c r="U30" s="185"/>
      <c r="V30" s="185"/>
      <c r="W30" s="185"/>
      <c r="X30" s="185"/>
      <c r="Y30" s="185"/>
      <c r="Z30" s="185"/>
      <c r="AA30" s="185"/>
      <c r="AM30" s="191"/>
      <c r="AN30" s="191"/>
      <c r="AU30" s="194"/>
      <c r="AW30" s="237">
        <f t="shared" si="6"/>
        <v>30.16</v>
      </c>
    </row>
    <row r="31" spans="2:49" s="121" customFormat="1" ht="16.5" customHeight="1" x14ac:dyDescent="0.2">
      <c r="B31" s="120"/>
      <c r="C31" s="56" t="s">
        <v>147</v>
      </c>
      <c r="D31" s="56" t="s">
        <v>96</v>
      </c>
      <c r="E31" s="57" t="s">
        <v>148</v>
      </c>
      <c r="F31" s="58" t="s">
        <v>149</v>
      </c>
      <c r="G31" s="59" t="s">
        <v>150</v>
      </c>
      <c r="H31" s="60">
        <v>86.82</v>
      </c>
      <c r="I31" s="61">
        <v>38.14</v>
      </c>
      <c r="J31" s="60">
        <v>3311.3</v>
      </c>
      <c r="K31" s="237">
        <v>0.5444</v>
      </c>
      <c r="L31" s="238">
        <f t="shared" si="1"/>
        <v>38.14</v>
      </c>
      <c r="M31" s="239">
        <f t="shared" si="2"/>
        <v>20.763415999999999</v>
      </c>
      <c r="N31" s="243">
        <f t="shared" si="3"/>
        <v>87.364399999999989</v>
      </c>
      <c r="O31" s="240">
        <f t="shared" si="4"/>
        <v>38.14</v>
      </c>
      <c r="P31" s="241">
        <f t="shared" si="5"/>
        <v>3332.0782159999994</v>
      </c>
      <c r="Q31" s="185"/>
      <c r="R31" s="185"/>
      <c r="S31" s="185"/>
      <c r="T31" s="185"/>
      <c r="U31" s="185"/>
      <c r="V31" s="185"/>
      <c r="W31" s="185"/>
      <c r="X31" s="185"/>
      <c r="Y31" s="185"/>
      <c r="Z31" s="185"/>
      <c r="AA31" s="185"/>
      <c r="AM31" s="191"/>
      <c r="AN31" s="191"/>
      <c r="AU31" s="194"/>
      <c r="AW31" s="237">
        <f t="shared" si="6"/>
        <v>91.54</v>
      </c>
    </row>
    <row r="32" spans="2:49" s="121" customFormat="1" ht="16.5" customHeight="1" x14ac:dyDescent="0.2">
      <c r="B32" s="120"/>
      <c r="C32" s="56" t="s">
        <v>151</v>
      </c>
      <c r="D32" s="56" t="s">
        <v>96</v>
      </c>
      <c r="E32" s="57" t="s">
        <v>152</v>
      </c>
      <c r="F32" s="58" t="s">
        <v>153</v>
      </c>
      <c r="G32" s="59" t="s">
        <v>108</v>
      </c>
      <c r="H32" s="60">
        <v>230.35</v>
      </c>
      <c r="I32" s="61">
        <v>38.14</v>
      </c>
      <c r="J32" s="60">
        <v>8785.5</v>
      </c>
      <c r="K32" s="237">
        <f t="shared" si="7"/>
        <v>1.43</v>
      </c>
      <c r="L32" s="238">
        <f t="shared" si="1"/>
        <v>38.14</v>
      </c>
      <c r="M32" s="239">
        <f t="shared" si="2"/>
        <v>54.540199999999999</v>
      </c>
      <c r="N32" s="243">
        <f t="shared" si="3"/>
        <v>231.78</v>
      </c>
      <c r="O32" s="240">
        <f t="shared" si="4"/>
        <v>38.14</v>
      </c>
      <c r="P32" s="241">
        <f t="shared" si="5"/>
        <v>8840.0892000000003</v>
      </c>
      <c r="Q32" s="185"/>
      <c r="R32" s="185"/>
      <c r="S32" s="185"/>
      <c r="T32" s="185"/>
      <c r="U32" s="185"/>
      <c r="V32" s="185"/>
      <c r="W32" s="185"/>
      <c r="X32" s="185"/>
      <c r="Y32" s="185"/>
      <c r="Z32" s="185"/>
      <c r="AA32" s="185"/>
      <c r="AM32" s="191"/>
      <c r="AN32" s="191"/>
      <c r="AU32" s="194"/>
      <c r="AW32" s="237">
        <f t="shared" si="6"/>
        <v>242.88</v>
      </c>
    </row>
    <row r="33" spans="1:49" s="121" customFormat="1" ht="16.5" customHeight="1" x14ac:dyDescent="0.2">
      <c r="B33" s="120"/>
      <c r="C33" s="56" t="s">
        <v>154</v>
      </c>
      <c r="D33" s="56" t="s">
        <v>96</v>
      </c>
      <c r="E33" s="57" t="s">
        <v>155</v>
      </c>
      <c r="F33" s="58" t="s">
        <v>156</v>
      </c>
      <c r="G33" s="59" t="s">
        <v>150</v>
      </c>
      <c r="H33" s="60">
        <v>310.49</v>
      </c>
      <c r="I33" s="61">
        <v>257.77999999999997</v>
      </c>
      <c r="J33" s="60">
        <v>80038.100000000006</v>
      </c>
      <c r="K33" s="237">
        <f t="shared" si="7"/>
        <v>1.93</v>
      </c>
      <c r="L33" s="238">
        <f t="shared" si="1"/>
        <v>257.77999999999997</v>
      </c>
      <c r="M33" s="239">
        <f t="shared" si="2"/>
        <v>497.51539999999994</v>
      </c>
      <c r="N33" s="243">
        <f t="shared" si="3"/>
        <v>312.42</v>
      </c>
      <c r="O33" s="240">
        <f t="shared" si="4"/>
        <v>257.77999999999997</v>
      </c>
      <c r="P33" s="241">
        <f t="shared" si="5"/>
        <v>80535.627599999993</v>
      </c>
      <c r="Q33" s="185"/>
      <c r="R33" s="185"/>
      <c r="S33" s="185"/>
      <c r="T33" s="185"/>
      <c r="U33" s="185"/>
      <c r="V33" s="185"/>
      <c r="W33" s="185"/>
      <c r="X33" s="185"/>
      <c r="Y33" s="185"/>
      <c r="Z33" s="185"/>
      <c r="AA33" s="185"/>
      <c r="AM33" s="334" t="s">
        <v>1111</v>
      </c>
      <c r="AN33" s="333" t="s">
        <v>1125</v>
      </c>
      <c r="AO33" s="121">
        <v>1.2999999999999999E-2</v>
      </c>
      <c r="AU33" s="194"/>
      <c r="AW33" s="237">
        <f t="shared" si="6"/>
        <v>327.38</v>
      </c>
    </row>
    <row r="34" spans="1:49" s="121" customFormat="1" ht="16.5" customHeight="1" x14ac:dyDescent="0.2">
      <c r="B34" s="120"/>
      <c r="C34" s="56" t="s">
        <v>1</v>
      </c>
      <c r="D34" s="56" t="s">
        <v>96</v>
      </c>
      <c r="E34" s="57" t="s">
        <v>157</v>
      </c>
      <c r="F34" s="58" t="s">
        <v>158</v>
      </c>
      <c r="G34" s="59" t="s">
        <v>150</v>
      </c>
      <c r="H34" s="60">
        <v>1484.11</v>
      </c>
      <c r="I34" s="61">
        <v>257.77999999999997</v>
      </c>
      <c r="J34" s="60">
        <v>382573.9</v>
      </c>
      <c r="K34" s="237">
        <f t="shared" si="7"/>
        <v>9.23</v>
      </c>
      <c r="L34" s="238">
        <f t="shared" si="1"/>
        <v>257.77999999999997</v>
      </c>
      <c r="M34" s="239">
        <f t="shared" si="2"/>
        <v>2379.3093999999996</v>
      </c>
      <c r="N34" s="243">
        <f t="shared" si="3"/>
        <v>1493.34</v>
      </c>
      <c r="O34" s="240">
        <f t="shared" si="4"/>
        <v>257.77999999999997</v>
      </c>
      <c r="P34" s="241">
        <f t="shared" si="5"/>
        <v>384953.18519999995</v>
      </c>
      <c r="Q34" s="185"/>
      <c r="R34" s="185"/>
      <c r="S34" s="185"/>
      <c r="T34" s="185"/>
      <c r="U34" s="185"/>
      <c r="V34" s="185"/>
      <c r="W34" s="185"/>
      <c r="X34" s="185"/>
      <c r="Y34" s="185"/>
      <c r="Z34" s="185"/>
      <c r="AA34" s="185"/>
      <c r="AM34" s="334"/>
      <c r="AN34" s="333"/>
      <c r="AO34" s="121">
        <f t="shared" ref="AO34:AO53" si="8">$AO$33*H34</f>
        <v>19.293429999999997</v>
      </c>
      <c r="AU34" s="194"/>
      <c r="AW34" s="237">
        <f t="shared" si="6"/>
        <v>1564.86</v>
      </c>
    </row>
    <row r="35" spans="1:49" s="121" customFormat="1" ht="16.5" customHeight="1" x14ac:dyDescent="0.2">
      <c r="B35" s="120"/>
      <c r="C35" s="56" t="s">
        <v>159</v>
      </c>
      <c r="D35" s="56" t="s">
        <v>96</v>
      </c>
      <c r="E35" s="57" t="s">
        <v>160</v>
      </c>
      <c r="F35" s="58" t="s">
        <v>161</v>
      </c>
      <c r="G35" s="59" t="s">
        <v>150</v>
      </c>
      <c r="H35" s="60">
        <v>445.23</v>
      </c>
      <c r="I35" s="61">
        <v>13.15</v>
      </c>
      <c r="J35" s="60">
        <v>5854.8</v>
      </c>
      <c r="K35" s="237">
        <f t="shared" si="7"/>
        <v>2.77</v>
      </c>
      <c r="L35" s="238">
        <f t="shared" si="1"/>
        <v>13.15</v>
      </c>
      <c r="M35" s="239">
        <f t="shared" si="2"/>
        <v>36.4255</v>
      </c>
      <c r="N35" s="243">
        <f t="shared" si="3"/>
        <v>448</v>
      </c>
      <c r="O35" s="240">
        <f t="shared" si="4"/>
        <v>13.15</v>
      </c>
      <c r="P35" s="241">
        <f t="shared" si="5"/>
        <v>5891.2</v>
      </c>
      <c r="Q35" s="185"/>
      <c r="R35" s="185"/>
      <c r="S35" s="185"/>
      <c r="T35" s="185"/>
      <c r="U35" s="185"/>
      <c r="V35" s="185"/>
      <c r="W35" s="185"/>
      <c r="X35" s="185"/>
      <c r="Y35" s="185"/>
      <c r="Z35" s="185"/>
      <c r="AA35" s="185"/>
      <c r="AM35" s="334"/>
      <c r="AN35" s="333"/>
      <c r="AO35" s="121">
        <f t="shared" si="8"/>
        <v>5.7879899999999997</v>
      </c>
      <c r="AU35" s="194"/>
      <c r="AW35" s="237">
        <f t="shared" si="6"/>
        <v>469.45</v>
      </c>
    </row>
    <row r="36" spans="1:49" s="121" customFormat="1" ht="16.5" customHeight="1" x14ac:dyDescent="0.2">
      <c r="B36" s="120"/>
      <c r="C36" s="56" t="s">
        <v>162</v>
      </c>
      <c r="D36" s="56" t="s">
        <v>96</v>
      </c>
      <c r="E36" s="57" t="s">
        <v>163</v>
      </c>
      <c r="F36" s="58" t="s">
        <v>164</v>
      </c>
      <c r="G36" s="59" t="s">
        <v>150</v>
      </c>
      <c r="H36" s="60">
        <v>1007.08</v>
      </c>
      <c r="I36" s="61">
        <v>315.64999999999998</v>
      </c>
      <c r="J36" s="60">
        <v>317884.79999999999</v>
      </c>
      <c r="K36" s="237">
        <f t="shared" si="7"/>
        <v>6.26</v>
      </c>
      <c r="L36" s="238">
        <f t="shared" si="1"/>
        <v>315.64999999999998</v>
      </c>
      <c r="M36" s="239">
        <f t="shared" si="2"/>
        <v>1975.9689999999998</v>
      </c>
      <c r="N36" s="243">
        <f t="shared" si="3"/>
        <v>1013.34</v>
      </c>
      <c r="O36" s="240">
        <f t="shared" si="4"/>
        <v>315.64999999999998</v>
      </c>
      <c r="P36" s="241">
        <f t="shared" si="5"/>
        <v>319860.77100000001</v>
      </c>
      <c r="Q36" s="185"/>
      <c r="R36" s="185"/>
      <c r="S36" s="185"/>
      <c r="T36" s="185"/>
      <c r="U36" s="185"/>
      <c r="V36" s="185"/>
      <c r="W36" s="185"/>
      <c r="X36" s="185"/>
      <c r="Y36" s="185"/>
      <c r="Z36" s="185"/>
      <c r="AA36" s="185"/>
      <c r="AM36" s="334"/>
      <c r="AN36" s="333"/>
      <c r="AO36" s="121">
        <f t="shared" si="8"/>
        <v>13.092040000000001</v>
      </c>
      <c r="AU36" s="194"/>
      <c r="AW36" s="237">
        <f t="shared" si="6"/>
        <v>1061.8699999999999</v>
      </c>
    </row>
    <row r="37" spans="1:49" s="121" customFormat="1" ht="33.75" x14ac:dyDescent="0.2">
      <c r="B37" s="120"/>
      <c r="C37" s="56" t="s">
        <v>165</v>
      </c>
      <c r="D37" s="56" t="s">
        <v>96</v>
      </c>
      <c r="E37" s="57" t="s">
        <v>166</v>
      </c>
      <c r="F37" s="58" t="s">
        <v>167</v>
      </c>
      <c r="G37" s="59" t="s">
        <v>150</v>
      </c>
      <c r="H37" s="60">
        <v>302.12</v>
      </c>
      <c r="I37" s="61">
        <v>15.78</v>
      </c>
      <c r="J37" s="60">
        <v>4767.5</v>
      </c>
      <c r="K37" s="237">
        <f t="shared" si="7"/>
        <v>1.88</v>
      </c>
      <c r="L37" s="238">
        <f t="shared" si="1"/>
        <v>15.78</v>
      </c>
      <c r="M37" s="239">
        <f t="shared" si="2"/>
        <v>29.666399999999996</v>
      </c>
      <c r="N37" s="243">
        <f t="shared" si="3"/>
        <v>304</v>
      </c>
      <c r="O37" s="240">
        <f t="shared" si="4"/>
        <v>15.78</v>
      </c>
      <c r="P37" s="241">
        <f t="shared" si="5"/>
        <v>4797.12</v>
      </c>
      <c r="Q37" s="185"/>
      <c r="R37" s="185"/>
      <c r="S37" s="185"/>
      <c r="T37" s="185"/>
      <c r="U37" s="185"/>
      <c r="V37" s="185"/>
      <c r="W37" s="185"/>
      <c r="X37" s="185"/>
      <c r="Y37" s="185"/>
      <c r="Z37" s="190" t="s">
        <v>1024</v>
      </c>
      <c r="AA37" s="185" t="s">
        <v>925</v>
      </c>
      <c r="AG37" s="190" t="s">
        <v>1064</v>
      </c>
      <c r="AH37" s="121" t="s">
        <v>931</v>
      </c>
      <c r="AM37" s="334"/>
      <c r="AN37" s="333"/>
      <c r="AO37" s="121">
        <f t="shared" si="8"/>
        <v>3.9275599999999997</v>
      </c>
      <c r="AU37" s="194"/>
      <c r="AW37" s="237">
        <f t="shared" si="6"/>
        <v>318.56</v>
      </c>
    </row>
    <row r="38" spans="1:49" s="121" customFormat="1" ht="24.95" customHeight="1" x14ac:dyDescent="0.2">
      <c r="B38" s="120"/>
      <c r="C38" s="56" t="s">
        <v>168</v>
      </c>
      <c r="D38" s="56" t="s">
        <v>96</v>
      </c>
      <c r="E38" s="57" t="s">
        <v>169</v>
      </c>
      <c r="F38" s="58" t="s">
        <v>170</v>
      </c>
      <c r="G38" s="59" t="s">
        <v>150</v>
      </c>
      <c r="H38" s="60">
        <v>130.47</v>
      </c>
      <c r="I38" s="61">
        <v>837.79</v>
      </c>
      <c r="J38" s="60">
        <v>109306.5</v>
      </c>
      <c r="K38" s="237">
        <f t="shared" si="7"/>
        <v>0.81</v>
      </c>
      <c r="L38" s="238">
        <f t="shared" si="1"/>
        <v>837.79</v>
      </c>
      <c r="M38" s="239">
        <f t="shared" si="2"/>
        <v>678.60990000000004</v>
      </c>
      <c r="N38" s="243">
        <f t="shared" si="3"/>
        <v>131.28</v>
      </c>
      <c r="O38" s="240">
        <f t="shared" si="4"/>
        <v>837.79</v>
      </c>
      <c r="P38" s="241">
        <f t="shared" si="5"/>
        <v>109985.07119999999</v>
      </c>
      <c r="Q38" s="198"/>
      <c r="R38" s="185"/>
      <c r="S38" s="185"/>
      <c r="T38" s="185"/>
      <c r="U38" s="185"/>
      <c r="V38" s="185"/>
      <c r="W38" s="185"/>
      <c r="X38" s="185"/>
      <c r="Y38" s="185"/>
      <c r="Z38" s="185"/>
      <c r="AA38" s="185"/>
      <c r="AM38" s="334"/>
      <c r="AN38" s="333"/>
      <c r="AO38" s="121">
        <f t="shared" si="8"/>
        <v>1.69611</v>
      </c>
      <c r="AU38" s="194"/>
      <c r="AW38" s="237">
        <f t="shared" si="6"/>
        <v>137.57</v>
      </c>
    </row>
    <row r="39" spans="1:49" s="121" customFormat="1" ht="18.75" customHeight="1" x14ac:dyDescent="0.2">
      <c r="B39" s="120"/>
      <c r="C39" s="56" t="s">
        <v>171</v>
      </c>
      <c r="D39" s="56" t="s">
        <v>96</v>
      </c>
      <c r="E39" s="57" t="s">
        <v>172</v>
      </c>
      <c r="F39" s="58" t="s">
        <v>173</v>
      </c>
      <c r="G39" s="59" t="s">
        <v>150</v>
      </c>
      <c r="H39" s="60">
        <v>1455.57</v>
      </c>
      <c r="I39" s="61">
        <v>1116.6199999999999</v>
      </c>
      <c r="J39" s="60">
        <v>1625318.6</v>
      </c>
      <c r="K39" s="237">
        <f t="shared" si="7"/>
        <v>9.0500000000000007</v>
      </c>
      <c r="L39" s="238">
        <f t="shared" si="1"/>
        <v>1116.6199999999999</v>
      </c>
      <c r="M39" s="239">
        <f t="shared" si="2"/>
        <v>10105.411</v>
      </c>
      <c r="N39" s="243">
        <f t="shared" si="3"/>
        <v>1464.62</v>
      </c>
      <c r="O39" s="240">
        <f t="shared" si="4"/>
        <v>1116.6199999999999</v>
      </c>
      <c r="P39" s="241">
        <f t="shared" si="5"/>
        <v>1635423.9843999997</v>
      </c>
      <c r="Q39" s="198"/>
      <c r="R39" s="190" t="s">
        <v>936</v>
      </c>
      <c r="S39" s="188" t="s">
        <v>954</v>
      </c>
      <c r="T39" s="190" t="s">
        <v>958</v>
      </c>
      <c r="U39" s="188" t="s">
        <v>968</v>
      </c>
      <c r="V39" s="190" t="s">
        <v>931</v>
      </c>
      <c r="W39" s="185"/>
      <c r="X39" s="185"/>
      <c r="Y39" s="185"/>
      <c r="Z39" s="185"/>
      <c r="AA39" s="185"/>
      <c r="AM39" s="334"/>
      <c r="AN39" s="333"/>
      <c r="AO39" s="121">
        <f t="shared" si="8"/>
        <v>18.922409999999999</v>
      </c>
      <c r="AU39" s="194"/>
      <c r="AW39" s="237">
        <f t="shared" si="6"/>
        <v>1534.76</v>
      </c>
    </row>
    <row r="40" spans="1:49" s="121" customFormat="1" ht="20.25" customHeight="1" x14ac:dyDescent="0.2">
      <c r="B40" s="120"/>
      <c r="C40" s="56" t="s">
        <v>174</v>
      </c>
      <c r="D40" s="56" t="s">
        <v>96</v>
      </c>
      <c r="E40" s="57" t="s">
        <v>175</v>
      </c>
      <c r="F40" s="58" t="s">
        <v>176</v>
      </c>
      <c r="G40" s="59" t="s">
        <v>108</v>
      </c>
      <c r="H40" s="60">
        <v>6689.21</v>
      </c>
      <c r="I40" s="61">
        <v>99.96</v>
      </c>
      <c r="J40" s="60">
        <v>668653.4</v>
      </c>
      <c r="K40" s="237">
        <f t="shared" si="7"/>
        <v>41.58</v>
      </c>
      <c r="L40" s="238">
        <f t="shared" si="1"/>
        <v>99.96</v>
      </c>
      <c r="M40" s="239">
        <f t="shared" si="2"/>
        <v>4156.3367999999991</v>
      </c>
      <c r="N40" s="243">
        <f t="shared" si="3"/>
        <v>6730.79</v>
      </c>
      <c r="O40" s="240">
        <f t="shared" si="4"/>
        <v>99.96</v>
      </c>
      <c r="P40" s="241">
        <f t="shared" si="5"/>
        <v>672809.76839999994</v>
      </c>
      <c r="Q40" s="188"/>
      <c r="R40" s="193"/>
      <c r="S40" s="185"/>
      <c r="T40" s="185"/>
      <c r="U40" s="185"/>
      <c r="V40" s="185"/>
      <c r="W40" s="185"/>
      <c r="X40" s="185"/>
      <c r="Y40" s="185"/>
      <c r="Z40" s="185"/>
      <c r="AA40" s="185"/>
      <c r="AG40" s="190" t="s">
        <v>1065</v>
      </c>
      <c r="AH40" s="191" t="s">
        <v>1078</v>
      </c>
      <c r="AI40" s="190" t="s">
        <v>1092</v>
      </c>
      <c r="AJ40" s="191" t="s">
        <v>1103</v>
      </c>
      <c r="AK40" s="121" t="s">
        <v>1106</v>
      </c>
      <c r="AM40" s="334" t="s">
        <v>1112</v>
      </c>
      <c r="AN40" s="333"/>
      <c r="AO40" s="121">
        <f t="shared" si="8"/>
        <v>86.959729999999993</v>
      </c>
      <c r="AP40" s="186" t="s">
        <v>1164</v>
      </c>
      <c r="AQ40" s="121" t="s">
        <v>1173</v>
      </c>
      <c r="AT40" s="334" t="s">
        <v>1178</v>
      </c>
      <c r="AU40" s="332" t="s">
        <v>1192</v>
      </c>
      <c r="AW40" s="237">
        <f t="shared" si="6"/>
        <v>7053.15</v>
      </c>
    </row>
    <row r="41" spans="1:49" s="121" customFormat="1" ht="16.5" customHeight="1" x14ac:dyDescent="0.2">
      <c r="B41" s="120"/>
      <c r="C41" s="56" t="s">
        <v>177</v>
      </c>
      <c r="D41" s="56" t="s">
        <v>96</v>
      </c>
      <c r="E41" s="57" t="s">
        <v>178</v>
      </c>
      <c r="F41" s="58" t="s">
        <v>179</v>
      </c>
      <c r="G41" s="59" t="s">
        <v>108</v>
      </c>
      <c r="H41" s="60">
        <v>212.34</v>
      </c>
      <c r="I41" s="61">
        <v>99.96</v>
      </c>
      <c r="J41" s="60">
        <v>21225.5</v>
      </c>
      <c r="K41" s="237">
        <f t="shared" si="7"/>
        <v>1.32</v>
      </c>
      <c r="L41" s="238">
        <f t="shared" si="1"/>
        <v>99.96</v>
      </c>
      <c r="M41" s="239">
        <f t="shared" si="2"/>
        <v>131.94720000000001</v>
      </c>
      <c r="N41" s="243">
        <f t="shared" si="3"/>
        <v>213.66</v>
      </c>
      <c r="O41" s="240">
        <f t="shared" si="4"/>
        <v>99.96</v>
      </c>
      <c r="P41" s="241">
        <f t="shared" si="5"/>
        <v>21357.453599999997</v>
      </c>
      <c r="Q41" s="185"/>
      <c r="R41" s="185"/>
      <c r="S41" s="185"/>
      <c r="T41" s="185"/>
      <c r="U41" s="185"/>
      <c r="V41" s="185"/>
      <c r="W41" s="185"/>
      <c r="X41" s="185"/>
      <c r="Y41" s="185"/>
      <c r="Z41" s="185"/>
      <c r="AA41" s="185"/>
      <c r="AD41" s="211">
        <v>0.05</v>
      </c>
      <c r="AI41" s="191"/>
      <c r="AM41" s="334"/>
      <c r="AN41" s="333"/>
      <c r="AO41" s="121">
        <f t="shared" si="8"/>
        <v>2.7604199999999999</v>
      </c>
      <c r="AT41" s="334"/>
      <c r="AU41" s="332"/>
      <c r="AW41" s="237">
        <f t="shared" si="6"/>
        <v>223.89</v>
      </c>
    </row>
    <row r="42" spans="1:49" s="121" customFormat="1" ht="10.5" customHeight="1" x14ac:dyDescent="0.2">
      <c r="A42" s="251"/>
      <c r="B42" s="120"/>
      <c r="C42" s="56" t="s">
        <v>180</v>
      </c>
      <c r="D42" s="56" t="s">
        <v>96</v>
      </c>
      <c r="E42" s="57" t="s">
        <v>181</v>
      </c>
      <c r="F42" s="58" t="s">
        <v>182</v>
      </c>
      <c r="G42" s="59" t="s">
        <v>108</v>
      </c>
      <c r="H42" s="60">
        <v>6689.21</v>
      </c>
      <c r="I42" s="61">
        <v>149.94</v>
      </c>
      <c r="J42" s="60">
        <v>1002980.1</v>
      </c>
      <c r="K42" s="237">
        <f t="shared" si="7"/>
        <v>41.58</v>
      </c>
      <c r="L42" s="238">
        <f t="shared" si="1"/>
        <v>149.94</v>
      </c>
      <c r="M42" s="239">
        <f t="shared" si="2"/>
        <v>6234.5051999999996</v>
      </c>
      <c r="N42" s="243">
        <f t="shared" si="3"/>
        <v>6730.79</v>
      </c>
      <c r="O42" s="240">
        <f t="shared" si="4"/>
        <v>149.94</v>
      </c>
      <c r="P42" s="241">
        <f t="shared" si="5"/>
        <v>1009214.6526</v>
      </c>
      <c r="Q42" s="188"/>
      <c r="R42" s="185"/>
      <c r="S42" s="185"/>
      <c r="T42" s="185"/>
      <c r="U42" s="185"/>
      <c r="V42" s="185"/>
      <c r="W42" s="185"/>
      <c r="X42" s="185"/>
      <c r="Y42" s="185"/>
      <c r="Z42" s="185"/>
      <c r="AA42" s="185"/>
      <c r="AG42" s="190" t="s">
        <v>1065</v>
      </c>
      <c r="AH42" s="191" t="s">
        <v>1078</v>
      </c>
      <c r="AI42" s="190" t="s">
        <v>1092</v>
      </c>
      <c r="AJ42" s="191" t="s">
        <v>1103</v>
      </c>
      <c r="AK42" s="121" t="s">
        <v>1107</v>
      </c>
      <c r="AM42" s="334"/>
      <c r="AN42" s="333"/>
      <c r="AO42" s="121">
        <f t="shared" si="8"/>
        <v>86.959729999999993</v>
      </c>
      <c r="AP42" s="186" t="s">
        <v>1164</v>
      </c>
      <c r="AQ42" s="121" t="s">
        <v>1173</v>
      </c>
      <c r="AT42" s="334"/>
      <c r="AU42" s="332"/>
      <c r="AW42" s="237">
        <f t="shared" si="6"/>
        <v>7053.15</v>
      </c>
    </row>
    <row r="43" spans="1:49" s="121" customFormat="1" ht="16.5" customHeight="1" x14ac:dyDescent="0.2">
      <c r="B43" s="120"/>
      <c r="C43" s="56" t="s">
        <v>183</v>
      </c>
      <c r="D43" s="56" t="s">
        <v>96</v>
      </c>
      <c r="E43" s="57" t="s">
        <v>184</v>
      </c>
      <c r="F43" s="58" t="s">
        <v>185</v>
      </c>
      <c r="G43" s="59" t="s">
        <v>108</v>
      </c>
      <c r="H43" s="60">
        <v>212.34</v>
      </c>
      <c r="I43" s="61">
        <v>149.94</v>
      </c>
      <c r="J43" s="60">
        <v>31838.3</v>
      </c>
      <c r="K43" s="237">
        <f t="shared" si="7"/>
        <v>1.32</v>
      </c>
      <c r="L43" s="238">
        <f t="shared" si="1"/>
        <v>149.94</v>
      </c>
      <c r="M43" s="239">
        <f t="shared" si="2"/>
        <v>197.92080000000001</v>
      </c>
      <c r="N43" s="243">
        <f t="shared" si="3"/>
        <v>213.66</v>
      </c>
      <c r="O43" s="240">
        <f t="shared" si="4"/>
        <v>149.94</v>
      </c>
      <c r="P43" s="241">
        <f t="shared" si="5"/>
        <v>32036.180399999997</v>
      </c>
      <c r="Q43" s="185"/>
      <c r="R43" s="185"/>
      <c r="S43" s="185"/>
      <c r="T43" s="185"/>
      <c r="U43" s="185"/>
      <c r="V43" s="185"/>
      <c r="W43" s="185"/>
      <c r="X43" s="185"/>
      <c r="Y43" s="185"/>
      <c r="Z43" s="185"/>
      <c r="AA43" s="185"/>
      <c r="AD43" s="211">
        <v>0.05</v>
      </c>
      <c r="AM43" s="191"/>
      <c r="AN43" s="333"/>
      <c r="AO43" s="121">
        <f t="shared" si="8"/>
        <v>2.7604199999999999</v>
      </c>
      <c r="AT43" s="334"/>
      <c r="AU43" s="332"/>
      <c r="AW43" s="237">
        <f t="shared" si="6"/>
        <v>223.89</v>
      </c>
    </row>
    <row r="44" spans="1:49" s="121" customFormat="1" ht="16.5" customHeight="1" x14ac:dyDescent="0.2">
      <c r="B44" s="120"/>
      <c r="C44" s="56" t="s">
        <v>186</v>
      </c>
      <c r="D44" s="56" t="s">
        <v>96</v>
      </c>
      <c r="E44" s="57" t="s">
        <v>187</v>
      </c>
      <c r="F44" s="58" t="s">
        <v>188</v>
      </c>
      <c r="G44" s="59" t="s">
        <v>150</v>
      </c>
      <c r="H44" s="60">
        <v>6927.08</v>
      </c>
      <c r="I44" s="61">
        <v>98.63</v>
      </c>
      <c r="J44" s="60">
        <v>683217.9</v>
      </c>
      <c r="K44" s="237">
        <f t="shared" si="7"/>
        <v>43.06</v>
      </c>
      <c r="L44" s="238">
        <f t="shared" si="1"/>
        <v>98.63</v>
      </c>
      <c r="M44" s="239">
        <f t="shared" si="2"/>
        <v>4247.0078000000003</v>
      </c>
      <c r="N44" s="243">
        <f t="shared" si="3"/>
        <v>6970.14</v>
      </c>
      <c r="O44" s="240">
        <f t="shared" si="4"/>
        <v>98.63</v>
      </c>
      <c r="P44" s="241">
        <f t="shared" si="5"/>
        <v>687464.90819999995</v>
      </c>
      <c r="Q44" s="185"/>
      <c r="R44" s="185"/>
      <c r="S44" s="185"/>
      <c r="T44" s="185"/>
      <c r="U44" s="185"/>
      <c r="V44" s="185"/>
      <c r="W44" s="185"/>
      <c r="X44" s="185"/>
      <c r="Y44" s="185"/>
      <c r="Z44" s="185"/>
      <c r="AA44" s="185"/>
      <c r="AM44" s="190" t="s">
        <v>919</v>
      </c>
      <c r="AN44" s="333"/>
      <c r="AO44" s="121">
        <f t="shared" si="8"/>
        <v>90.052039999999991</v>
      </c>
      <c r="AU44" s="194"/>
      <c r="AW44" s="237">
        <f t="shared" si="6"/>
        <v>7303.96</v>
      </c>
    </row>
    <row r="45" spans="1:49" s="121" customFormat="1" ht="12" x14ac:dyDescent="0.2">
      <c r="B45" s="120"/>
      <c r="C45" s="56" t="s">
        <v>189</v>
      </c>
      <c r="D45" s="56" t="s">
        <v>96</v>
      </c>
      <c r="E45" s="57" t="s">
        <v>190</v>
      </c>
      <c r="F45" s="58" t="s">
        <v>191</v>
      </c>
      <c r="G45" s="59" t="s">
        <v>150</v>
      </c>
      <c r="H45" s="60">
        <v>1261.1400000000001</v>
      </c>
      <c r="I45" s="61">
        <v>247.39</v>
      </c>
      <c r="J45" s="60">
        <v>311993.40000000002</v>
      </c>
      <c r="K45" s="237">
        <f t="shared" si="7"/>
        <v>7.84</v>
      </c>
      <c r="L45" s="238">
        <f t="shared" si="1"/>
        <v>247.39</v>
      </c>
      <c r="M45" s="239">
        <f t="shared" si="2"/>
        <v>1939.5375999999999</v>
      </c>
      <c r="N45" s="243">
        <f t="shared" si="3"/>
        <v>1268.98</v>
      </c>
      <c r="O45" s="240">
        <f t="shared" si="4"/>
        <v>247.39</v>
      </c>
      <c r="P45" s="241">
        <f t="shared" si="5"/>
        <v>313932.96220000001</v>
      </c>
      <c r="Q45" s="190"/>
      <c r="R45" s="185"/>
      <c r="S45" s="185"/>
      <c r="T45" s="185"/>
      <c r="U45" s="185"/>
      <c r="V45" s="185"/>
      <c r="W45" s="185"/>
      <c r="X45" s="185"/>
      <c r="Y45" s="185"/>
      <c r="Z45" s="185"/>
      <c r="AA45" s="185"/>
      <c r="AM45" s="191"/>
      <c r="AN45" s="333"/>
      <c r="AO45" s="121">
        <f t="shared" si="8"/>
        <v>16.394819999999999</v>
      </c>
      <c r="AU45" s="194"/>
      <c r="AW45" s="237">
        <f t="shared" si="6"/>
        <v>1329.75</v>
      </c>
    </row>
    <row r="46" spans="1:49" s="121" customFormat="1" ht="12" x14ac:dyDescent="0.2">
      <c r="B46" s="120"/>
      <c r="C46" s="56" t="s">
        <v>192</v>
      </c>
      <c r="D46" s="56" t="s">
        <v>96</v>
      </c>
      <c r="E46" s="57" t="s">
        <v>193</v>
      </c>
      <c r="F46" s="58" t="s">
        <v>194</v>
      </c>
      <c r="G46" s="59" t="s">
        <v>150</v>
      </c>
      <c r="H46" s="60">
        <v>1261.1400000000001</v>
      </c>
      <c r="I46" s="61">
        <v>44.72</v>
      </c>
      <c r="J46" s="60">
        <v>56398.2</v>
      </c>
      <c r="K46" s="237">
        <f t="shared" si="7"/>
        <v>7.84</v>
      </c>
      <c r="L46" s="238">
        <f t="shared" si="1"/>
        <v>44.72</v>
      </c>
      <c r="M46" s="239">
        <f t="shared" si="2"/>
        <v>350.60480000000001</v>
      </c>
      <c r="N46" s="243">
        <f t="shared" si="3"/>
        <v>1268.98</v>
      </c>
      <c r="O46" s="240">
        <f t="shared" si="4"/>
        <v>44.72</v>
      </c>
      <c r="P46" s="241">
        <f t="shared" si="5"/>
        <v>56748.785600000003</v>
      </c>
      <c r="Q46" s="190"/>
      <c r="R46" s="185"/>
      <c r="S46" s="185"/>
      <c r="T46" s="185"/>
      <c r="U46" s="185"/>
      <c r="V46" s="185"/>
      <c r="W46" s="185"/>
      <c r="X46" s="185"/>
      <c r="Y46" s="185"/>
      <c r="Z46" s="185"/>
      <c r="AA46" s="185"/>
      <c r="AM46" s="191"/>
      <c r="AN46" s="333"/>
      <c r="AO46" s="121">
        <f t="shared" si="8"/>
        <v>16.394819999999999</v>
      </c>
      <c r="AU46" s="194"/>
      <c r="AW46" s="237">
        <f t="shared" si="6"/>
        <v>1329.75</v>
      </c>
    </row>
    <row r="47" spans="1:49" s="121" customFormat="1" ht="12" x14ac:dyDescent="0.2">
      <c r="B47" s="120"/>
      <c r="C47" s="56" t="s">
        <v>195</v>
      </c>
      <c r="D47" s="56" t="s">
        <v>96</v>
      </c>
      <c r="E47" s="57" t="s">
        <v>196</v>
      </c>
      <c r="F47" s="58" t="s">
        <v>197</v>
      </c>
      <c r="G47" s="59" t="s">
        <v>150</v>
      </c>
      <c r="H47" s="60">
        <v>1261.1400000000001</v>
      </c>
      <c r="I47" s="61">
        <v>11.84</v>
      </c>
      <c r="J47" s="60">
        <v>14931.9</v>
      </c>
      <c r="K47" s="237">
        <f t="shared" si="7"/>
        <v>7.84</v>
      </c>
      <c r="L47" s="238">
        <f t="shared" si="1"/>
        <v>11.84</v>
      </c>
      <c r="M47" s="239">
        <f t="shared" si="2"/>
        <v>92.825599999999994</v>
      </c>
      <c r="N47" s="243">
        <f t="shared" si="3"/>
        <v>1268.98</v>
      </c>
      <c r="O47" s="240">
        <f t="shared" si="4"/>
        <v>11.84</v>
      </c>
      <c r="P47" s="241">
        <f t="shared" si="5"/>
        <v>15024.7232</v>
      </c>
      <c r="Q47" s="190"/>
      <c r="R47" s="185"/>
      <c r="S47" s="185"/>
      <c r="T47" s="185"/>
      <c r="U47" s="185"/>
      <c r="V47" s="185"/>
      <c r="W47" s="185"/>
      <c r="X47" s="185"/>
      <c r="Y47" s="185"/>
      <c r="Z47" s="185"/>
      <c r="AA47" s="185"/>
      <c r="AM47" s="191"/>
      <c r="AN47" s="333"/>
      <c r="AO47" s="121">
        <f t="shared" si="8"/>
        <v>16.394819999999999</v>
      </c>
      <c r="AU47" s="194"/>
      <c r="AW47" s="237">
        <f t="shared" si="6"/>
        <v>1329.75</v>
      </c>
    </row>
    <row r="48" spans="1:49" s="121" customFormat="1" ht="16.5" customHeight="1" x14ac:dyDescent="0.2">
      <c r="B48" s="120"/>
      <c r="C48" s="56" t="s">
        <v>198</v>
      </c>
      <c r="D48" s="56" t="s">
        <v>96</v>
      </c>
      <c r="E48" s="57" t="s">
        <v>199</v>
      </c>
      <c r="F48" s="58" t="s">
        <v>200</v>
      </c>
      <c r="G48" s="59" t="s">
        <v>201</v>
      </c>
      <c r="H48" s="60">
        <v>2522.2800000000002</v>
      </c>
      <c r="I48" s="61">
        <v>116</v>
      </c>
      <c r="J48" s="60">
        <v>292584.5</v>
      </c>
      <c r="K48" s="237">
        <f t="shared" si="7"/>
        <v>15.68</v>
      </c>
      <c r="L48" s="238">
        <f t="shared" si="1"/>
        <v>116</v>
      </c>
      <c r="M48" s="239">
        <f t="shared" si="2"/>
        <v>1818.8799999999999</v>
      </c>
      <c r="N48" s="243">
        <f t="shared" si="3"/>
        <v>2537.96</v>
      </c>
      <c r="O48" s="240">
        <f t="shared" si="4"/>
        <v>116</v>
      </c>
      <c r="P48" s="241">
        <f t="shared" si="5"/>
        <v>294403.36</v>
      </c>
      <c r="Q48" s="185"/>
      <c r="R48" s="185"/>
      <c r="S48" s="185"/>
      <c r="T48" s="185"/>
      <c r="U48" s="185"/>
      <c r="V48" s="185"/>
      <c r="W48" s="185"/>
      <c r="X48" s="185"/>
      <c r="Y48" s="185"/>
      <c r="Z48" s="185"/>
      <c r="AA48" s="185"/>
      <c r="AM48" s="191"/>
      <c r="AN48" s="333"/>
      <c r="AO48" s="121">
        <f t="shared" si="8"/>
        <v>32.789639999999999</v>
      </c>
      <c r="AU48" s="194"/>
      <c r="AW48" s="237">
        <f t="shared" si="6"/>
        <v>2659.51</v>
      </c>
    </row>
    <row r="49" spans="2:49" s="121" customFormat="1" ht="16.5" customHeight="1" x14ac:dyDescent="0.2">
      <c r="B49" s="120"/>
      <c r="C49" s="56" t="s">
        <v>202</v>
      </c>
      <c r="D49" s="56" t="s">
        <v>96</v>
      </c>
      <c r="E49" s="57" t="s">
        <v>203</v>
      </c>
      <c r="F49" s="58" t="s">
        <v>204</v>
      </c>
      <c r="G49" s="59" t="s">
        <v>150</v>
      </c>
      <c r="H49" s="60">
        <v>2849.85</v>
      </c>
      <c r="I49" s="61">
        <v>143.36000000000001</v>
      </c>
      <c r="J49" s="60">
        <v>408554.5</v>
      </c>
      <c r="K49" s="237">
        <f t="shared" si="7"/>
        <v>17.71</v>
      </c>
      <c r="L49" s="238">
        <f t="shared" si="1"/>
        <v>143.36000000000001</v>
      </c>
      <c r="M49" s="239">
        <f t="shared" si="2"/>
        <v>2538.9056000000005</v>
      </c>
      <c r="N49" s="243">
        <f t="shared" si="3"/>
        <v>2867.56</v>
      </c>
      <c r="O49" s="240">
        <f t="shared" si="4"/>
        <v>143.36000000000001</v>
      </c>
      <c r="P49" s="241">
        <f t="shared" si="5"/>
        <v>411093.40160000004</v>
      </c>
      <c r="Q49" s="185"/>
      <c r="R49" s="185"/>
      <c r="S49" s="185"/>
      <c r="T49" s="185"/>
      <c r="U49" s="185"/>
      <c r="V49" s="185"/>
      <c r="W49" s="185"/>
      <c r="X49" s="185"/>
      <c r="Y49" s="185"/>
      <c r="Z49" s="185"/>
      <c r="AA49" s="185"/>
      <c r="AM49" s="190" t="s">
        <v>919</v>
      </c>
      <c r="AN49" s="333"/>
      <c r="AO49" s="121">
        <f t="shared" si="8"/>
        <v>37.048049999999996</v>
      </c>
      <c r="AU49" s="194"/>
      <c r="AW49" s="237">
        <f t="shared" si="6"/>
        <v>3004.9</v>
      </c>
    </row>
    <row r="50" spans="2:49" s="121" customFormat="1" ht="12" x14ac:dyDescent="0.2">
      <c r="B50" s="120"/>
      <c r="C50" s="56" t="s">
        <v>205</v>
      </c>
      <c r="D50" s="56" t="s">
        <v>96</v>
      </c>
      <c r="E50" s="57" t="s">
        <v>206</v>
      </c>
      <c r="F50" s="58" t="s">
        <v>207</v>
      </c>
      <c r="G50" s="59" t="s">
        <v>150</v>
      </c>
      <c r="H50" s="60">
        <v>792</v>
      </c>
      <c r="I50" s="61">
        <v>318.27999999999997</v>
      </c>
      <c r="J50" s="60">
        <v>252077.8</v>
      </c>
      <c r="K50" s="237">
        <f t="shared" si="7"/>
        <v>4.92</v>
      </c>
      <c r="L50" s="238">
        <f t="shared" si="1"/>
        <v>318.27999999999997</v>
      </c>
      <c r="M50" s="239">
        <f t="shared" si="2"/>
        <v>1565.9375999999997</v>
      </c>
      <c r="N50" s="243">
        <f t="shared" si="3"/>
        <v>796.92</v>
      </c>
      <c r="O50" s="240">
        <f t="shared" si="4"/>
        <v>318.27999999999997</v>
      </c>
      <c r="P50" s="241">
        <f t="shared" si="5"/>
        <v>253643.69759999996</v>
      </c>
      <c r="Q50" s="185"/>
      <c r="R50" s="185"/>
      <c r="S50" s="185"/>
      <c r="T50" s="185"/>
      <c r="U50" s="185"/>
      <c r="V50" s="185"/>
      <c r="W50" s="185"/>
      <c r="X50" s="185"/>
      <c r="Y50" s="185"/>
      <c r="Z50" s="185"/>
      <c r="AA50" s="185"/>
      <c r="AD50" s="334" t="s">
        <v>1048</v>
      </c>
      <c r="AG50" s="188"/>
      <c r="AM50" s="190" t="s">
        <v>919</v>
      </c>
      <c r="AN50" s="333"/>
      <c r="AO50" s="121">
        <f t="shared" si="8"/>
        <v>10.295999999999999</v>
      </c>
      <c r="AU50" s="194"/>
      <c r="AW50" s="237">
        <f t="shared" si="6"/>
        <v>835.09</v>
      </c>
    </row>
    <row r="51" spans="2:49" s="121" customFormat="1" ht="12" x14ac:dyDescent="0.2">
      <c r="B51" s="120"/>
      <c r="C51" s="73" t="s">
        <v>208</v>
      </c>
      <c r="D51" s="73" t="s">
        <v>209</v>
      </c>
      <c r="E51" s="74" t="s">
        <v>210</v>
      </c>
      <c r="F51" s="75" t="s">
        <v>211</v>
      </c>
      <c r="G51" s="76" t="s">
        <v>201</v>
      </c>
      <c r="H51" s="77">
        <v>1584</v>
      </c>
      <c r="I51" s="78">
        <v>172.71</v>
      </c>
      <c r="J51" s="77">
        <v>273572.59999999998</v>
      </c>
      <c r="K51" s="237">
        <f t="shared" si="7"/>
        <v>9.85</v>
      </c>
      <c r="L51" s="238">
        <f t="shared" si="1"/>
        <v>172.71</v>
      </c>
      <c r="M51" s="239">
        <f t="shared" si="2"/>
        <v>1701.1935000000001</v>
      </c>
      <c r="N51" s="243">
        <f t="shared" si="3"/>
        <v>1593.85</v>
      </c>
      <c r="O51" s="240">
        <f t="shared" si="4"/>
        <v>172.71</v>
      </c>
      <c r="P51" s="241">
        <f t="shared" si="5"/>
        <v>275273.83350000001</v>
      </c>
      <c r="Q51" s="185"/>
      <c r="R51" s="185"/>
      <c r="S51" s="185"/>
      <c r="T51" s="185"/>
      <c r="U51" s="185"/>
      <c r="V51" s="185"/>
      <c r="W51" s="185"/>
      <c r="X51" s="185"/>
      <c r="Y51" s="185"/>
      <c r="Z51" s="185"/>
      <c r="AA51" s="185"/>
      <c r="AD51" s="334"/>
      <c r="AG51" s="188"/>
      <c r="AM51" s="190" t="s">
        <v>919</v>
      </c>
      <c r="AN51" s="333"/>
      <c r="AO51" s="121">
        <f t="shared" si="8"/>
        <v>20.591999999999999</v>
      </c>
      <c r="AU51" s="194"/>
      <c r="AW51" s="237">
        <f t="shared" si="6"/>
        <v>1670.18</v>
      </c>
    </row>
    <row r="52" spans="2:49" s="121" customFormat="1" ht="16.5" customHeight="1" x14ac:dyDescent="0.2">
      <c r="B52" s="120"/>
      <c r="C52" s="56" t="s">
        <v>212</v>
      </c>
      <c r="D52" s="56" t="s">
        <v>96</v>
      </c>
      <c r="E52" s="57" t="s">
        <v>213</v>
      </c>
      <c r="F52" s="58" t="s">
        <v>214</v>
      </c>
      <c r="G52" s="59" t="s">
        <v>108</v>
      </c>
      <c r="H52" s="60">
        <v>217.04</v>
      </c>
      <c r="I52" s="61">
        <v>53.92</v>
      </c>
      <c r="J52" s="60">
        <v>11702.8</v>
      </c>
      <c r="K52" s="237">
        <f t="shared" si="7"/>
        <v>1.35</v>
      </c>
      <c r="L52" s="238">
        <f t="shared" si="1"/>
        <v>53.92</v>
      </c>
      <c r="M52" s="239">
        <f t="shared" si="2"/>
        <v>72.792000000000002</v>
      </c>
      <c r="N52" s="243">
        <f t="shared" si="3"/>
        <v>218.39</v>
      </c>
      <c r="O52" s="240">
        <f t="shared" si="4"/>
        <v>53.92</v>
      </c>
      <c r="P52" s="241">
        <f t="shared" si="5"/>
        <v>11775.5888</v>
      </c>
      <c r="Q52" s="185"/>
      <c r="R52" s="185"/>
      <c r="S52" s="185"/>
      <c r="T52" s="185"/>
      <c r="U52" s="185"/>
      <c r="V52" s="185"/>
      <c r="W52" s="185"/>
      <c r="X52" s="185"/>
      <c r="Y52" s="185"/>
      <c r="Z52" s="185"/>
      <c r="AA52" s="185"/>
      <c r="AM52" s="191"/>
      <c r="AN52" s="191"/>
      <c r="AO52" s="121">
        <f t="shared" si="8"/>
        <v>2.8215199999999996</v>
      </c>
      <c r="AT52" s="334" t="s">
        <v>1179</v>
      </c>
      <c r="AU52" s="194"/>
      <c r="AW52" s="237">
        <f t="shared" si="6"/>
        <v>228.85</v>
      </c>
    </row>
    <row r="53" spans="2:49" s="121" customFormat="1" ht="16.5" customHeight="1" x14ac:dyDescent="0.2">
      <c r="B53" s="120"/>
      <c r="C53" s="56" t="s">
        <v>215</v>
      </c>
      <c r="D53" s="56" t="s">
        <v>96</v>
      </c>
      <c r="E53" s="57" t="s">
        <v>216</v>
      </c>
      <c r="F53" s="58" t="s">
        <v>217</v>
      </c>
      <c r="G53" s="59" t="s">
        <v>108</v>
      </c>
      <c r="H53" s="60">
        <v>253.39</v>
      </c>
      <c r="I53" s="61">
        <v>26.3</v>
      </c>
      <c r="J53" s="60">
        <v>6664.2</v>
      </c>
      <c r="K53" s="237">
        <f t="shared" si="7"/>
        <v>1.58</v>
      </c>
      <c r="L53" s="238">
        <f t="shared" si="1"/>
        <v>26.3</v>
      </c>
      <c r="M53" s="239">
        <f t="shared" si="2"/>
        <v>41.554000000000002</v>
      </c>
      <c r="N53" s="243">
        <f t="shared" si="3"/>
        <v>254.97</v>
      </c>
      <c r="O53" s="240">
        <f t="shared" si="4"/>
        <v>26.3</v>
      </c>
      <c r="P53" s="241">
        <f t="shared" si="5"/>
        <v>6705.7110000000002</v>
      </c>
      <c r="Q53" s="185"/>
      <c r="R53" s="185"/>
      <c r="S53" s="185"/>
      <c r="T53" s="185"/>
      <c r="U53" s="185"/>
      <c r="V53" s="185"/>
      <c r="W53" s="185"/>
      <c r="X53" s="185"/>
      <c r="Y53" s="185"/>
      <c r="Z53" s="185"/>
      <c r="AA53" s="185"/>
      <c r="AM53" s="191"/>
      <c r="AN53" s="191"/>
      <c r="AO53" s="121">
        <f t="shared" si="8"/>
        <v>3.2940699999999996</v>
      </c>
      <c r="AT53" s="334"/>
      <c r="AU53" s="194"/>
      <c r="AW53" s="237">
        <f t="shared" si="6"/>
        <v>267.18</v>
      </c>
    </row>
    <row r="54" spans="2:49" s="170" customFormat="1" ht="22.9" customHeight="1" x14ac:dyDescent="0.2">
      <c r="B54" s="165"/>
      <c r="C54" s="252"/>
      <c r="D54" s="253" t="s">
        <v>4</v>
      </c>
      <c r="E54" s="254" t="s">
        <v>8</v>
      </c>
      <c r="F54" s="254" t="s">
        <v>218</v>
      </c>
      <c r="G54" s="252"/>
      <c r="H54" s="252"/>
      <c r="I54" s="255"/>
      <c r="J54" s="256">
        <f>+SUBTOTAL(9,J55)</f>
        <v>4327.3999999999996</v>
      </c>
      <c r="K54" s="257"/>
      <c r="L54" s="258"/>
      <c r="M54" s="259">
        <f>M55</f>
        <v>27.200800000000005</v>
      </c>
      <c r="N54" s="260"/>
      <c r="O54" s="261"/>
      <c r="P54" s="259">
        <f>P55</f>
        <v>4354.6008000000002</v>
      </c>
      <c r="Q54" s="187"/>
      <c r="R54" s="187"/>
      <c r="S54" s="187"/>
      <c r="T54" s="187"/>
      <c r="U54" s="187"/>
      <c r="V54" s="187"/>
      <c r="W54" s="187"/>
      <c r="X54" s="187"/>
      <c r="Y54" s="187"/>
      <c r="Z54" s="187"/>
      <c r="AA54" s="187"/>
      <c r="AM54" s="218"/>
      <c r="AN54" s="218"/>
      <c r="AT54" s="121"/>
      <c r="AU54" s="194"/>
      <c r="AW54" s="237"/>
    </row>
    <row r="55" spans="2:49" s="121" customFormat="1" ht="16.5" customHeight="1" x14ac:dyDescent="0.2">
      <c r="B55" s="120"/>
      <c r="C55" s="56" t="s">
        <v>219</v>
      </c>
      <c r="D55" s="56" t="s">
        <v>96</v>
      </c>
      <c r="E55" s="57" t="s">
        <v>220</v>
      </c>
      <c r="F55" s="58" t="s">
        <v>221</v>
      </c>
      <c r="G55" s="59" t="s">
        <v>133</v>
      </c>
      <c r="H55" s="60">
        <v>70</v>
      </c>
      <c r="I55" s="61">
        <v>61.820000000000007</v>
      </c>
      <c r="J55" s="60">
        <v>4327.3999999999996</v>
      </c>
      <c r="K55" s="237">
        <f t="shared" si="7"/>
        <v>0.44</v>
      </c>
      <c r="L55" s="238">
        <f t="shared" si="1"/>
        <v>61.820000000000007</v>
      </c>
      <c r="M55" s="239">
        <f t="shared" si="2"/>
        <v>27.200800000000005</v>
      </c>
      <c r="N55" s="243">
        <f t="shared" si="3"/>
        <v>70.44</v>
      </c>
      <c r="O55" s="240">
        <f t="shared" si="4"/>
        <v>61.820000000000007</v>
      </c>
      <c r="P55" s="241">
        <f t="shared" si="5"/>
        <v>4354.6008000000002</v>
      </c>
      <c r="Q55" s="185"/>
      <c r="R55" s="185"/>
      <c r="S55" s="185"/>
      <c r="T55" s="185"/>
      <c r="U55" s="185"/>
      <c r="V55" s="185"/>
      <c r="W55" s="185"/>
      <c r="X55" s="185"/>
      <c r="Y55" s="185"/>
      <c r="Z55" s="185"/>
      <c r="AA55" s="185"/>
      <c r="AM55" s="191"/>
      <c r="AN55" s="191"/>
      <c r="AU55" s="194"/>
      <c r="AW55" s="237">
        <f t="shared" si="6"/>
        <v>73.81</v>
      </c>
    </row>
    <row r="56" spans="2:49" s="170" customFormat="1" ht="22.9" customHeight="1" x14ac:dyDescent="0.2">
      <c r="B56" s="165"/>
      <c r="C56" s="252"/>
      <c r="D56" s="253" t="s">
        <v>4</v>
      </c>
      <c r="E56" s="254" t="s">
        <v>13</v>
      </c>
      <c r="F56" s="254" t="s">
        <v>222</v>
      </c>
      <c r="G56" s="252"/>
      <c r="H56" s="252"/>
      <c r="I56" s="255"/>
      <c r="J56" s="256">
        <f>+SUBTOTAL(9,J57:J58)</f>
        <v>51178.799999999996</v>
      </c>
      <c r="K56" s="257"/>
      <c r="L56" s="258"/>
      <c r="M56" s="259">
        <f>M57+M58</f>
        <v>318.04760000000005</v>
      </c>
      <c r="N56" s="260"/>
      <c r="O56" s="261"/>
      <c r="P56" s="259">
        <f>P57+P58</f>
        <v>51496.878400000001</v>
      </c>
      <c r="Q56" s="187"/>
      <c r="R56" s="187"/>
      <c r="S56" s="187"/>
      <c r="T56" s="187"/>
      <c r="U56" s="187"/>
      <c r="V56" s="187"/>
      <c r="W56" s="187"/>
      <c r="X56" s="187"/>
      <c r="Y56" s="187"/>
      <c r="Z56" s="187"/>
      <c r="AA56" s="187"/>
      <c r="AM56" s="218"/>
      <c r="AN56" s="218"/>
      <c r="AT56" s="121"/>
      <c r="AU56" s="194"/>
      <c r="AW56" s="237"/>
    </row>
    <row r="57" spans="2:49" s="121" customFormat="1" ht="22.5" x14ac:dyDescent="0.2">
      <c r="B57" s="120"/>
      <c r="C57" s="56" t="s">
        <v>223</v>
      </c>
      <c r="D57" s="56" t="s">
        <v>96</v>
      </c>
      <c r="E57" s="57" t="s">
        <v>224</v>
      </c>
      <c r="F57" s="58" t="s">
        <v>225</v>
      </c>
      <c r="G57" s="59" t="s">
        <v>133</v>
      </c>
      <c r="H57" s="60">
        <v>1296.98</v>
      </c>
      <c r="I57" s="61">
        <v>32.880000000000003</v>
      </c>
      <c r="J57" s="60">
        <v>42644.7</v>
      </c>
      <c r="K57" s="237">
        <f t="shared" si="7"/>
        <v>8.06</v>
      </c>
      <c r="L57" s="238">
        <f t="shared" si="1"/>
        <v>32.880000000000003</v>
      </c>
      <c r="M57" s="239">
        <f t="shared" si="2"/>
        <v>265.01280000000003</v>
      </c>
      <c r="N57" s="243">
        <f t="shared" si="3"/>
        <v>1305.04</v>
      </c>
      <c r="O57" s="240">
        <f t="shared" si="4"/>
        <v>32.880000000000003</v>
      </c>
      <c r="P57" s="241">
        <f t="shared" si="5"/>
        <v>42909.715199999999</v>
      </c>
      <c r="Q57" s="185"/>
      <c r="R57" s="185"/>
      <c r="S57" s="185"/>
      <c r="T57" s="185"/>
      <c r="U57" s="185"/>
      <c r="V57" s="185"/>
      <c r="W57" s="185"/>
      <c r="X57" s="185"/>
      <c r="Y57" s="185"/>
      <c r="Z57" s="185"/>
      <c r="AA57" s="185"/>
      <c r="AM57" s="191"/>
      <c r="AN57" s="191"/>
      <c r="AP57" s="186" t="s">
        <v>1165</v>
      </c>
      <c r="AQ57" s="121" t="s">
        <v>1174</v>
      </c>
      <c r="AT57" s="190" t="s">
        <v>1180</v>
      </c>
      <c r="AU57" s="194"/>
      <c r="AW57" s="237">
        <f t="shared" si="6"/>
        <v>1367.54</v>
      </c>
    </row>
    <row r="58" spans="2:49" s="121" customFormat="1" ht="22.5" x14ac:dyDescent="0.2">
      <c r="B58" s="120"/>
      <c r="C58" s="56" t="s">
        <v>226</v>
      </c>
      <c r="D58" s="56" t="s">
        <v>96</v>
      </c>
      <c r="E58" s="57" t="s">
        <v>227</v>
      </c>
      <c r="F58" s="58" t="s">
        <v>228</v>
      </c>
      <c r="G58" s="59" t="s">
        <v>133</v>
      </c>
      <c r="H58" s="60">
        <v>1296.98</v>
      </c>
      <c r="I58" s="61">
        <v>6.58</v>
      </c>
      <c r="J58" s="60">
        <v>8534.1</v>
      </c>
      <c r="K58" s="237">
        <f t="shared" si="7"/>
        <v>8.06</v>
      </c>
      <c r="L58" s="238">
        <f t="shared" si="1"/>
        <v>6.58</v>
      </c>
      <c r="M58" s="239">
        <f t="shared" si="2"/>
        <v>53.034800000000004</v>
      </c>
      <c r="N58" s="243">
        <f t="shared" si="3"/>
        <v>1305.04</v>
      </c>
      <c r="O58" s="240">
        <f t="shared" si="4"/>
        <v>6.58</v>
      </c>
      <c r="P58" s="241">
        <f t="shared" si="5"/>
        <v>8587.1631999999991</v>
      </c>
      <c r="Q58" s="185"/>
      <c r="R58" s="185"/>
      <c r="S58" s="185"/>
      <c r="T58" s="185"/>
      <c r="U58" s="185"/>
      <c r="V58" s="185"/>
      <c r="W58" s="185"/>
      <c r="X58" s="185"/>
      <c r="Y58" s="185"/>
      <c r="Z58" s="185"/>
      <c r="AA58" s="185"/>
      <c r="AM58" s="191"/>
      <c r="AN58" s="191"/>
      <c r="AP58" s="186" t="s">
        <v>1166</v>
      </c>
      <c r="AQ58" s="121" t="s">
        <v>1175</v>
      </c>
      <c r="AT58" s="190" t="s">
        <v>1180</v>
      </c>
      <c r="AU58" s="194"/>
      <c r="AW58" s="237">
        <f t="shared" si="6"/>
        <v>1367.54</v>
      </c>
    </row>
    <row r="59" spans="2:49" s="170" customFormat="1" ht="22.9" customHeight="1" x14ac:dyDescent="0.2">
      <c r="B59" s="165"/>
      <c r="C59" s="252"/>
      <c r="D59" s="253" t="s">
        <v>4</v>
      </c>
      <c r="E59" s="254" t="s">
        <v>100</v>
      </c>
      <c r="F59" s="254" t="s">
        <v>229</v>
      </c>
      <c r="G59" s="252"/>
      <c r="H59" s="252"/>
      <c r="I59" s="255"/>
      <c r="J59" s="256">
        <f>+SUBTOTAL(9,J60:J68)</f>
        <v>1080368.5</v>
      </c>
      <c r="K59" s="257"/>
      <c r="L59" s="258"/>
      <c r="M59" s="259">
        <f>SUM(M60:M68)</f>
        <v>6595.3715999999995</v>
      </c>
      <c r="N59" s="260"/>
      <c r="O59" s="261"/>
      <c r="P59" s="259">
        <f>SUM(P60:P68)</f>
        <v>1086963.8541000001</v>
      </c>
      <c r="Q59" s="187"/>
      <c r="R59" s="187"/>
      <c r="S59" s="187"/>
      <c r="T59" s="187"/>
      <c r="U59" s="187"/>
      <c r="V59" s="187"/>
      <c r="W59" s="187"/>
      <c r="X59" s="187"/>
      <c r="Y59" s="187"/>
      <c r="Z59" s="187"/>
      <c r="AA59" s="187"/>
      <c r="AM59" s="218"/>
      <c r="AN59" s="218"/>
      <c r="AT59" s="121"/>
      <c r="AU59" s="194"/>
    </row>
    <row r="60" spans="2:49" s="121" customFormat="1" ht="16.5" customHeight="1" x14ac:dyDescent="0.2">
      <c r="B60" s="120"/>
      <c r="C60" s="56" t="s">
        <v>230</v>
      </c>
      <c r="D60" s="56" t="s">
        <v>96</v>
      </c>
      <c r="E60" s="57" t="s">
        <v>231</v>
      </c>
      <c r="F60" s="58" t="s">
        <v>232</v>
      </c>
      <c r="G60" s="59" t="s">
        <v>99</v>
      </c>
      <c r="H60" s="60">
        <v>21</v>
      </c>
      <c r="I60" s="61">
        <v>122.32</v>
      </c>
      <c r="J60" s="60">
        <v>2568.6999999999998</v>
      </c>
      <c r="K60" s="237">
        <v>0</v>
      </c>
      <c r="L60" s="238">
        <f t="shared" si="1"/>
        <v>122.32</v>
      </c>
      <c r="M60" s="239">
        <f t="shared" si="2"/>
        <v>0</v>
      </c>
      <c r="N60" s="243">
        <f t="shared" si="3"/>
        <v>21</v>
      </c>
      <c r="O60" s="240">
        <f t="shared" si="4"/>
        <v>122.32</v>
      </c>
      <c r="P60" s="241">
        <f t="shared" si="5"/>
        <v>2568.7199999999998</v>
      </c>
      <c r="Q60" s="185"/>
      <c r="R60" s="185"/>
      <c r="S60" s="185"/>
      <c r="T60" s="185"/>
      <c r="U60" s="185"/>
      <c r="V60" s="185"/>
      <c r="W60" s="185"/>
      <c r="X60" s="185"/>
      <c r="Y60" s="185"/>
      <c r="Z60" s="185"/>
      <c r="AA60" s="185"/>
      <c r="AM60" s="191"/>
      <c r="AN60" s="191"/>
      <c r="AU60" s="194"/>
    </row>
    <row r="61" spans="2:49" s="121" customFormat="1" ht="16.5" customHeight="1" x14ac:dyDescent="0.2">
      <c r="B61" s="120"/>
      <c r="C61" s="73" t="s">
        <v>233</v>
      </c>
      <c r="D61" s="73" t="s">
        <v>209</v>
      </c>
      <c r="E61" s="74" t="s">
        <v>234</v>
      </c>
      <c r="F61" s="75" t="s">
        <v>235</v>
      </c>
      <c r="G61" s="76" t="s">
        <v>99</v>
      </c>
      <c r="H61" s="77">
        <v>3</v>
      </c>
      <c r="I61" s="78">
        <v>345.9</v>
      </c>
      <c r="J61" s="77">
        <v>1037.7</v>
      </c>
      <c r="K61" s="237">
        <v>0</v>
      </c>
      <c r="L61" s="238">
        <f t="shared" si="1"/>
        <v>345.9</v>
      </c>
      <c r="M61" s="239">
        <f t="shared" si="2"/>
        <v>0</v>
      </c>
      <c r="N61" s="243">
        <f t="shared" si="3"/>
        <v>3</v>
      </c>
      <c r="O61" s="240">
        <f t="shared" si="4"/>
        <v>345.9</v>
      </c>
      <c r="P61" s="241">
        <f t="shared" si="5"/>
        <v>1037.6999999999998</v>
      </c>
      <c r="Q61" s="185"/>
      <c r="R61" s="185"/>
      <c r="S61" s="185"/>
      <c r="T61" s="185"/>
      <c r="U61" s="185"/>
      <c r="V61" s="185"/>
      <c r="W61" s="185"/>
      <c r="X61" s="185"/>
      <c r="Y61" s="185"/>
      <c r="Z61" s="185"/>
      <c r="AA61" s="185"/>
      <c r="AM61" s="191"/>
      <c r="AN61" s="191"/>
      <c r="AU61" s="194"/>
    </row>
    <row r="62" spans="2:49" s="121" customFormat="1" ht="16.5" customHeight="1" x14ac:dyDescent="0.2">
      <c r="B62" s="120"/>
      <c r="C62" s="73" t="s">
        <v>236</v>
      </c>
      <c r="D62" s="73" t="s">
        <v>209</v>
      </c>
      <c r="E62" s="74" t="s">
        <v>237</v>
      </c>
      <c r="F62" s="75" t="s">
        <v>238</v>
      </c>
      <c r="G62" s="76" t="s">
        <v>99</v>
      </c>
      <c r="H62" s="77">
        <v>3</v>
      </c>
      <c r="I62" s="78">
        <v>313.02</v>
      </c>
      <c r="J62" s="77">
        <v>939.1</v>
      </c>
      <c r="K62" s="237">
        <v>0</v>
      </c>
      <c r="L62" s="238">
        <f t="shared" si="1"/>
        <v>313.02</v>
      </c>
      <c r="M62" s="239">
        <f t="shared" si="2"/>
        <v>0</v>
      </c>
      <c r="N62" s="243">
        <f t="shared" si="3"/>
        <v>3</v>
      </c>
      <c r="O62" s="240">
        <f t="shared" si="4"/>
        <v>313.02</v>
      </c>
      <c r="P62" s="241">
        <f t="shared" si="5"/>
        <v>939.06</v>
      </c>
      <c r="Q62" s="185"/>
      <c r="R62" s="185"/>
      <c r="S62" s="185"/>
      <c r="T62" s="185"/>
      <c r="U62" s="185"/>
      <c r="V62" s="185"/>
      <c r="W62" s="185"/>
      <c r="X62" s="185"/>
      <c r="Y62" s="185"/>
      <c r="Z62" s="185"/>
      <c r="AA62" s="185"/>
      <c r="AM62" s="191"/>
      <c r="AN62" s="191"/>
      <c r="AU62" s="194"/>
    </row>
    <row r="63" spans="2:49" s="121" customFormat="1" ht="16.5" customHeight="1" x14ac:dyDescent="0.2">
      <c r="B63" s="120"/>
      <c r="C63" s="73" t="s">
        <v>239</v>
      </c>
      <c r="D63" s="73" t="s">
        <v>209</v>
      </c>
      <c r="E63" s="74" t="s">
        <v>240</v>
      </c>
      <c r="F63" s="75" t="s">
        <v>241</v>
      </c>
      <c r="G63" s="76" t="s">
        <v>99</v>
      </c>
      <c r="H63" s="77">
        <v>8</v>
      </c>
      <c r="I63" s="78">
        <v>270.94</v>
      </c>
      <c r="J63" s="77">
        <v>2167.5</v>
      </c>
      <c r="K63" s="237">
        <v>0</v>
      </c>
      <c r="L63" s="238">
        <f t="shared" si="1"/>
        <v>270.94</v>
      </c>
      <c r="M63" s="239">
        <f t="shared" si="2"/>
        <v>0</v>
      </c>
      <c r="N63" s="243">
        <f t="shared" si="3"/>
        <v>8</v>
      </c>
      <c r="O63" s="240">
        <f t="shared" si="4"/>
        <v>270.94</v>
      </c>
      <c r="P63" s="241">
        <f t="shared" si="5"/>
        <v>2167.52</v>
      </c>
      <c r="Q63" s="185"/>
      <c r="R63" s="185"/>
      <c r="S63" s="185"/>
      <c r="T63" s="185"/>
      <c r="U63" s="185"/>
      <c r="V63" s="185"/>
      <c r="W63" s="185"/>
      <c r="X63" s="185"/>
      <c r="Y63" s="185"/>
      <c r="Z63" s="185"/>
      <c r="AA63" s="185"/>
      <c r="AM63" s="191"/>
      <c r="AN63" s="191"/>
      <c r="AU63" s="194"/>
    </row>
    <row r="64" spans="2:49" s="121" customFormat="1" ht="16.5" customHeight="1" x14ac:dyDescent="0.2">
      <c r="B64" s="120"/>
      <c r="C64" s="73" t="s">
        <v>242</v>
      </c>
      <c r="D64" s="73" t="s">
        <v>209</v>
      </c>
      <c r="E64" s="74" t="s">
        <v>243</v>
      </c>
      <c r="F64" s="75" t="s">
        <v>244</v>
      </c>
      <c r="G64" s="76" t="s">
        <v>99</v>
      </c>
      <c r="H64" s="77">
        <v>7</v>
      </c>
      <c r="I64" s="78">
        <v>220.96</v>
      </c>
      <c r="J64" s="77">
        <v>1546.7</v>
      </c>
      <c r="K64" s="237">
        <v>0</v>
      </c>
      <c r="L64" s="238">
        <f t="shared" si="1"/>
        <v>220.96</v>
      </c>
      <c r="M64" s="239">
        <f t="shared" si="2"/>
        <v>0</v>
      </c>
      <c r="N64" s="243">
        <f t="shared" si="3"/>
        <v>7</v>
      </c>
      <c r="O64" s="240">
        <f t="shared" si="4"/>
        <v>220.96</v>
      </c>
      <c r="P64" s="241">
        <f t="shared" si="5"/>
        <v>1546.72</v>
      </c>
      <c r="Q64" s="185"/>
      <c r="R64" s="185"/>
      <c r="S64" s="185"/>
      <c r="T64" s="185"/>
      <c r="U64" s="185"/>
      <c r="V64" s="185"/>
      <c r="W64" s="185"/>
      <c r="X64" s="185"/>
      <c r="Y64" s="185"/>
      <c r="Z64" s="185"/>
      <c r="AA64" s="185"/>
      <c r="AM64" s="191"/>
      <c r="AN64" s="191"/>
      <c r="AU64" s="194"/>
    </row>
    <row r="65" spans="2:49" s="121" customFormat="1" ht="16.5" customHeight="1" x14ac:dyDescent="0.2">
      <c r="B65" s="120"/>
      <c r="C65" s="56" t="s">
        <v>245</v>
      </c>
      <c r="D65" s="56" t="s">
        <v>96</v>
      </c>
      <c r="E65" s="57" t="s">
        <v>246</v>
      </c>
      <c r="F65" s="58" t="s">
        <v>247</v>
      </c>
      <c r="G65" s="59" t="s">
        <v>99</v>
      </c>
      <c r="H65" s="60">
        <v>21</v>
      </c>
      <c r="I65" s="61">
        <v>152.57</v>
      </c>
      <c r="J65" s="60">
        <v>3204</v>
      </c>
      <c r="K65" s="237">
        <v>0</v>
      </c>
      <c r="L65" s="238">
        <f t="shared" si="1"/>
        <v>152.57</v>
      </c>
      <c r="M65" s="239">
        <f t="shared" si="2"/>
        <v>0</v>
      </c>
      <c r="N65" s="243">
        <f t="shared" si="3"/>
        <v>21</v>
      </c>
      <c r="O65" s="240">
        <f t="shared" si="4"/>
        <v>152.57</v>
      </c>
      <c r="P65" s="241">
        <f t="shared" si="5"/>
        <v>3203.97</v>
      </c>
      <c r="Q65" s="185"/>
      <c r="R65" s="185"/>
      <c r="S65" s="185"/>
      <c r="T65" s="185"/>
      <c r="U65" s="185"/>
      <c r="V65" s="185"/>
      <c r="W65" s="185"/>
      <c r="X65" s="185"/>
      <c r="Y65" s="185"/>
      <c r="Z65" s="185"/>
      <c r="AA65" s="185"/>
      <c r="AM65" s="191"/>
      <c r="AN65" s="191"/>
      <c r="AU65" s="194"/>
    </row>
    <row r="66" spans="2:49" s="121" customFormat="1" ht="16.5" customHeight="1" x14ac:dyDescent="0.2">
      <c r="B66" s="120"/>
      <c r="C66" s="73" t="s">
        <v>248</v>
      </c>
      <c r="D66" s="73" t="s">
        <v>209</v>
      </c>
      <c r="E66" s="74" t="s">
        <v>249</v>
      </c>
      <c r="F66" s="75" t="s">
        <v>250</v>
      </c>
      <c r="G66" s="76" t="s">
        <v>99</v>
      </c>
      <c r="H66" s="77">
        <v>21</v>
      </c>
      <c r="I66" s="78">
        <v>395.88</v>
      </c>
      <c r="J66" s="77">
        <v>8313.5</v>
      </c>
      <c r="K66" s="237">
        <v>0</v>
      </c>
      <c r="L66" s="238">
        <f t="shared" si="1"/>
        <v>395.88</v>
      </c>
      <c r="M66" s="239">
        <f t="shared" si="2"/>
        <v>0</v>
      </c>
      <c r="N66" s="243">
        <f t="shared" si="3"/>
        <v>21</v>
      </c>
      <c r="O66" s="240">
        <f t="shared" si="4"/>
        <v>395.88</v>
      </c>
      <c r="P66" s="241">
        <f t="shared" si="5"/>
        <v>8313.48</v>
      </c>
      <c r="Q66" s="185"/>
      <c r="R66" s="185"/>
      <c r="S66" s="185"/>
      <c r="T66" s="185"/>
      <c r="U66" s="185"/>
      <c r="V66" s="185"/>
      <c r="W66" s="185"/>
      <c r="X66" s="185"/>
      <c r="Y66" s="185"/>
      <c r="Z66" s="185"/>
      <c r="AA66" s="185"/>
      <c r="AM66" s="191"/>
      <c r="AN66" s="191"/>
      <c r="AU66" s="194"/>
    </row>
    <row r="67" spans="2:49" s="121" customFormat="1" ht="22.5" x14ac:dyDescent="0.2">
      <c r="B67" s="120"/>
      <c r="C67" s="56" t="s">
        <v>251</v>
      </c>
      <c r="D67" s="56" t="s">
        <v>96</v>
      </c>
      <c r="E67" s="57" t="s">
        <v>252</v>
      </c>
      <c r="F67" s="58" t="s">
        <v>253</v>
      </c>
      <c r="G67" s="59" t="s">
        <v>150</v>
      </c>
      <c r="H67" s="60">
        <v>188.6</v>
      </c>
      <c r="I67" s="61">
        <v>3239.16</v>
      </c>
      <c r="J67" s="60">
        <v>610905.59999999998</v>
      </c>
      <c r="K67" s="237">
        <f t="shared" ref="K67:K68" si="9">ROUND(1365/1357*AW67-AW67,2)</f>
        <v>1.17</v>
      </c>
      <c r="L67" s="238">
        <f t="shared" si="1"/>
        <v>3239.16</v>
      </c>
      <c r="M67" s="239">
        <f t="shared" si="2"/>
        <v>3789.8171999999995</v>
      </c>
      <c r="N67" s="243">
        <f t="shared" si="3"/>
        <v>189.76999999999998</v>
      </c>
      <c r="O67" s="240">
        <f t="shared" si="4"/>
        <v>3239.16</v>
      </c>
      <c r="P67" s="241">
        <f t="shared" si="5"/>
        <v>614695.39319999993</v>
      </c>
      <c r="Q67" s="185"/>
      <c r="R67" s="185"/>
      <c r="S67" s="185"/>
      <c r="T67" s="185"/>
      <c r="U67" s="185"/>
      <c r="V67" s="185"/>
      <c r="W67" s="185"/>
      <c r="X67" s="185"/>
      <c r="Y67" s="185"/>
      <c r="Z67" s="185"/>
      <c r="AA67" s="185"/>
      <c r="AM67" s="190" t="s">
        <v>919</v>
      </c>
      <c r="AN67" s="191" t="s">
        <v>1127</v>
      </c>
      <c r="AU67" s="194"/>
      <c r="AW67" s="237">
        <f t="shared" ref="AW67:AW68" si="10">ROUND(1357/1286.98*H67,2)</f>
        <v>198.86</v>
      </c>
    </row>
    <row r="68" spans="2:49" s="121" customFormat="1" ht="26.25" customHeight="1" x14ac:dyDescent="0.2">
      <c r="B68" s="120"/>
      <c r="C68" s="56" t="s">
        <v>254</v>
      </c>
      <c r="D68" s="56" t="s">
        <v>96</v>
      </c>
      <c r="E68" s="57" t="s">
        <v>255</v>
      </c>
      <c r="F68" s="58" t="s">
        <v>256</v>
      </c>
      <c r="G68" s="59" t="s">
        <v>150</v>
      </c>
      <c r="H68" s="60">
        <v>141.05000000000001</v>
      </c>
      <c r="I68" s="61">
        <v>3188.13</v>
      </c>
      <c r="J68" s="60">
        <v>449685.7</v>
      </c>
      <c r="K68" s="237">
        <f t="shared" si="9"/>
        <v>0.88</v>
      </c>
      <c r="L68" s="238">
        <f t="shared" si="1"/>
        <v>3188.13</v>
      </c>
      <c r="M68" s="239">
        <f t="shared" si="2"/>
        <v>2805.5544</v>
      </c>
      <c r="N68" s="243">
        <f t="shared" si="3"/>
        <v>141.93</v>
      </c>
      <c r="O68" s="240">
        <f t="shared" si="4"/>
        <v>3188.13</v>
      </c>
      <c r="P68" s="241">
        <f t="shared" si="5"/>
        <v>452491.29090000002</v>
      </c>
      <c r="Q68" s="188"/>
      <c r="R68" s="185"/>
      <c r="S68" s="185"/>
      <c r="T68" s="185"/>
      <c r="U68" s="185"/>
      <c r="V68" s="185"/>
      <c r="W68" s="186" t="s">
        <v>978</v>
      </c>
      <c r="X68" s="190" t="s">
        <v>991</v>
      </c>
      <c r="Y68" s="185"/>
      <c r="Z68" s="190" t="s">
        <v>1022</v>
      </c>
      <c r="AA68" s="188" t="s">
        <v>1033</v>
      </c>
      <c r="AB68" s="190" t="s">
        <v>1037</v>
      </c>
      <c r="AC68" s="121" t="s">
        <v>1042</v>
      </c>
      <c r="AD68" s="186" t="s">
        <v>1049</v>
      </c>
      <c r="AE68" s="121" t="s">
        <v>1057</v>
      </c>
      <c r="AG68" s="190" t="s">
        <v>1066</v>
      </c>
      <c r="AH68" s="191" t="s">
        <v>1079</v>
      </c>
      <c r="AI68" s="190" t="s">
        <v>1093</v>
      </c>
      <c r="AJ68" s="191" t="s">
        <v>1104</v>
      </c>
      <c r="AM68" s="190" t="s">
        <v>919</v>
      </c>
      <c r="AN68" s="191" t="s">
        <v>1126</v>
      </c>
      <c r="AP68" s="186" t="s">
        <v>1167</v>
      </c>
      <c r="AT68" s="186" t="s">
        <v>1167</v>
      </c>
      <c r="AU68" s="194"/>
      <c r="AW68" s="237">
        <f t="shared" si="10"/>
        <v>148.72</v>
      </c>
    </row>
    <row r="69" spans="2:49" s="170" customFormat="1" ht="22.9" customHeight="1" x14ac:dyDescent="0.2">
      <c r="B69" s="165"/>
      <c r="C69" s="252"/>
      <c r="D69" s="253" t="s">
        <v>4</v>
      </c>
      <c r="E69" s="254" t="s">
        <v>105</v>
      </c>
      <c r="F69" s="254" t="s">
        <v>257</v>
      </c>
      <c r="G69" s="252"/>
      <c r="H69" s="252"/>
      <c r="I69" s="255"/>
      <c r="J69" s="256">
        <f>+SUBTOTAL(9,J70:J79)</f>
        <v>1491632.7000000002</v>
      </c>
      <c r="K69" s="257"/>
      <c r="L69" s="258"/>
      <c r="M69" s="259">
        <f>SUM(M70:M79)</f>
        <v>0</v>
      </c>
      <c r="N69" s="260"/>
      <c r="O69" s="261"/>
      <c r="P69" s="259">
        <f>SUM(P70:P79)</f>
        <v>1491632.5805999998</v>
      </c>
      <c r="Q69" s="187"/>
      <c r="R69" s="187"/>
      <c r="S69" s="187"/>
      <c r="T69" s="187"/>
      <c r="U69" s="187"/>
      <c r="V69" s="187"/>
      <c r="W69" s="187"/>
      <c r="X69" s="187"/>
      <c r="Y69" s="187"/>
      <c r="Z69" s="187"/>
      <c r="AA69" s="187"/>
      <c r="AM69" s="218"/>
      <c r="AN69" s="218"/>
      <c r="AT69" s="121"/>
      <c r="AU69" s="194"/>
    </row>
    <row r="70" spans="2:49" s="121" customFormat="1" ht="21" customHeight="1" x14ac:dyDescent="0.2">
      <c r="B70" s="120"/>
      <c r="C70" s="56" t="s">
        <v>258</v>
      </c>
      <c r="D70" s="56" t="s">
        <v>96</v>
      </c>
      <c r="E70" s="57" t="s">
        <v>259</v>
      </c>
      <c r="F70" s="58" t="s">
        <v>260</v>
      </c>
      <c r="G70" s="59" t="s">
        <v>108</v>
      </c>
      <c r="H70" s="60">
        <v>142.11000000000001</v>
      </c>
      <c r="I70" s="61">
        <v>155.66999999999999</v>
      </c>
      <c r="J70" s="60">
        <v>22122.3</v>
      </c>
      <c r="K70" s="237">
        <v>0</v>
      </c>
      <c r="L70" s="238">
        <f t="shared" si="1"/>
        <v>155.66999999999999</v>
      </c>
      <c r="M70" s="239">
        <f t="shared" si="2"/>
        <v>0</v>
      </c>
      <c r="N70" s="243">
        <f t="shared" si="3"/>
        <v>142.11000000000001</v>
      </c>
      <c r="O70" s="240">
        <f t="shared" si="4"/>
        <v>155.66999999999999</v>
      </c>
      <c r="P70" s="241">
        <f t="shared" si="5"/>
        <v>22122.2637</v>
      </c>
      <c r="Q70" s="185"/>
      <c r="R70" s="185"/>
      <c r="S70" s="185"/>
      <c r="T70" s="185"/>
      <c r="U70" s="185"/>
      <c r="V70" s="185"/>
      <c r="W70" s="190" t="s">
        <v>977</v>
      </c>
      <c r="X70" s="190" t="s">
        <v>992</v>
      </c>
      <c r="Y70" s="185"/>
      <c r="Z70" s="185"/>
      <c r="AA70" s="185"/>
      <c r="AM70" s="191"/>
      <c r="AN70" s="191"/>
      <c r="AU70" s="194"/>
    </row>
    <row r="71" spans="2:49" s="121" customFormat="1" ht="22.5" customHeight="1" x14ac:dyDescent="0.2">
      <c r="B71" s="120"/>
      <c r="C71" s="56" t="s">
        <v>261</v>
      </c>
      <c r="D71" s="56" t="s">
        <v>96</v>
      </c>
      <c r="E71" s="57" t="s">
        <v>262</v>
      </c>
      <c r="F71" s="58" t="s">
        <v>263</v>
      </c>
      <c r="G71" s="59" t="s">
        <v>108</v>
      </c>
      <c r="H71" s="60">
        <v>860.77</v>
      </c>
      <c r="I71" s="61">
        <v>302.54000000000002</v>
      </c>
      <c r="J71" s="60">
        <v>260417.4</v>
      </c>
      <c r="K71" s="237">
        <v>0</v>
      </c>
      <c r="L71" s="238">
        <f t="shared" si="1"/>
        <v>302.54000000000002</v>
      </c>
      <c r="M71" s="239">
        <f t="shared" si="2"/>
        <v>0</v>
      </c>
      <c r="N71" s="243">
        <f t="shared" si="3"/>
        <v>860.77</v>
      </c>
      <c r="O71" s="240">
        <f t="shared" si="4"/>
        <v>302.54000000000002</v>
      </c>
      <c r="P71" s="241">
        <f t="shared" si="5"/>
        <v>260417.35580000002</v>
      </c>
      <c r="Q71" s="188"/>
      <c r="R71" s="190" t="s">
        <v>940</v>
      </c>
      <c r="S71" s="188" t="s">
        <v>955</v>
      </c>
      <c r="T71" s="190" t="s">
        <v>959</v>
      </c>
      <c r="U71" s="188" t="s">
        <v>969</v>
      </c>
      <c r="V71" s="186" t="s">
        <v>931</v>
      </c>
      <c r="W71" s="188"/>
      <c r="X71" s="185"/>
      <c r="Y71" s="185"/>
      <c r="Z71" s="190" t="s">
        <v>1021</v>
      </c>
      <c r="AA71" s="188" t="s">
        <v>1034</v>
      </c>
      <c r="AB71" s="190" t="s">
        <v>1036</v>
      </c>
      <c r="AC71" s="121" t="s">
        <v>1043</v>
      </c>
      <c r="AD71" s="186" t="s">
        <v>1050</v>
      </c>
      <c r="AE71" s="121" t="s">
        <v>925</v>
      </c>
      <c r="AM71" s="191"/>
      <c r="AN71" s="191"/>
      <c r="AU71" s="194"/>
    </row>
    <row r="72" spans="2:49" s="121" customFormat="1" ht="16.5" customHeight="1" x14ac:dyDescent="0.2">
      <c r="B72" s="120"/>
      <c r="C72" s="56" t="s">
        <v>264</v>
      </c>
      <c r="D72" s="56" t="s">
        <v>96</v>
      </c>
      <c r="E72" s="57" t="s">
        <v>265</v>
      </c>
      <c r="F72" s="58" t="s">
        <v>266</v>
      </c>
      <c r="G72" s="59" t="s">
        <v>108</v>
      </c>
      <c r="H72" s="60">
        <v>167.22</v>
      </c>
      <c r="I72" s="61">
        <v>86.36</v>
      </c>
      <c r="J72" s="60">
        <v>14441.1</v>
      </c>
      <c r="K72" s="237">
        <v>0</v>
      </c>
      <c r="L72" s="238">
        <f t="shared" si="1"/>
        <v>86.36</v>
      </c>
      <c r="M72" s="239">
        <f t="shared" si="2"/>
        <v>0</v>
      </c>
      <c r="N72" s="243">
        <f t="shared" si="3"/>
        <v>167.22</v>
      </c>
      <c r="O72" s="240">
        <f t="shared" si="4"/>
        <v>86.36</v>
      </c>
      <c r="P72" s="241">
        <f t="shared" si="5"/>
        <v>14441.119199999999</v>
      </c>
      <c r="Q72" s="185"/>
      <c r="R72" s="185"/>
      <c r="S72" s="185"/>
      <c r="T72" s="185"/>
      <c r="U72" s="185"/>
      <c r="V72" s="185"/>
      <c r="W72" s="185"/>
      <c r="X72" s="185"/>
      <c r="Y72" s="185"/>
      <c r="Z72" s="185"/>
      <c r="AA72" s="185"/>
      <c r="AM72" s="191"/>
      <c r="AN72" s="191"/>
      <c r="AU72" s="194"/>
    </row>
    <row r="73" spans="2:49" s="121" customFormat="1" ht="16.5" customHeight="1" x14ac:dyDescent="0.2">
      <c r="B73" s="120"/>
      <c r="C73" s="56" t="s">
        <v>267</v>
      </c>
      <c r="D73" s="56" t="s">
        <v>96</v>
      </c>
      <c r="E73" s="57" t="s">
        <v>268</v>
      </c>
      <c r="F73" s="58" t="s">
        <v>269</v>
      </c>
      <c r="G73" s="59" t="s">
        <v>108</v>
      </c>
      <c r="H73" s="60">
        <v>693.55</v>
      </c>
      <c r="I73" s="61">
        <v>14.18</v>
      </c>
      <c r="J73" s="60">
        <v>9834.5</v>
      </c>
      <c r="K73" s="237">
        <v>0</v>
      </c>
      <c r="L73" s="238">
        <f t="shared" si="1"/>
        <v>14.18</v>
      </c>
      <c r="M73" s="239">
        <f t="shared" si="2"/>
        <v>0</v>
      </c>
      <c r="N73" s="243">
        <f t="shared" si="3"/>
        <v>693.55</v>
      </c>
      <c r="O73" s="240">
        <f t="shared" si="4"/>
        <v>14.18</v>
      </c>
      <c r="P73" s="241">
        <f t="shared" si="5"/>
        <v>9834.5389999999989</v>
      </c>
      <c r="Q73" s="185"/>
      <c r="R73" s="185"/>
      <c r="S73" s="185"/>
      <c r="T73" s="185"/>
      <c r="U73" s="185"/>
      <c r="V73" s="185"/>
      <c r="W73" s="185"/>
      <c r="X73" s="185"/>
      <c r="Y73" s="186" t="s">
        <v>1004</v>
      </c>
      <c r="Z73" s="185"/>
      <c r="AA73" s="185"/>
      <c r="AM73" s="191"/>
      <c r="AN73" s="191"/>
      <c r="AU73" s="194"/>
    </row>
    <row r="74" spans="2:49" s="121" customFormat="1" ht="16.5" customHeight="1" x14ac:dyDescent="0.2">
      <c r="B74" s="120"/>
      <c r="C74" s="56" t="s">
        <v>270</v>
      </c>
      <c r="D74" s="56" t="s">
        <v>96</v>
      </c>
      <c r="E74" s="57" t="s">
        <v>271</v>
      </c>
      <c r="F74" s="58" t="s">
        <v>272</v>
      </c>
      <c r="G74" s="59" t="s">
        <v>108</v>
      </c>
      <c r="H74" s="60">
        <v>1324.05</v>
      </c>
      <c r="I74" s="61">
        <v>20.62</v>
      </c>
      <c r="J74" s="60">
        <v>27301.9</v>
      </c>
      <c r="K74" s="237">
        <v>0</v>
      </c>
      <c r="L74" s="238">
        <f t="shared" si="1"/>
        <v>20.62</v>
      </c>
      <c r="M74" s="239">
        <f t="shared" si="2"/>
        <v>0</v>
      </c>
      <c r="N74" s="243">
        <f t="shared" si="3"/>
        <v>1324.05</v>
      </c>
      <c r="O74" s="240">
        <f t="shared" si="4"/>
        <v>20.62</v>
      </c>
      <c r="P74" s="241">
        <f t="shared" si="5"/>
        <v>27301.911</v>
      </c>
      <c r="Q74" s="185"/>
      <c r="R74" s="185"/>
      <c r="S74" s="185"/>
      <c r="T74" s="185"/>
      <c r="U74" s="185"/>
      <c r="V74" s="185"/>
      <c r="W74" s="185"/>
      <c r="X74" s="185"/>
      <c r="Y74" s="186" t="s">
        <v>1004</v>
      </c>
      <c r="Z74" s="185"/>
      <c r="AA74" s="185"/>
      <c r="AM74" s="191"/>
      <c r="AN74" s="191"/>
      <c r="AU74" s="194"/>
    </row>
    <row r="75" spans="2:49" s="121" customFormat="1" ht="16.5" customHeight="1" x14ac:dyDescent="0.2">
      <c r="B75" s="120"/>
      <c r="C75" s="56" t="s">
        <v>273</v>
      </c>
      <c r="D75" s="56" t="s">
        <v>96</v>
      </c>
      <c r="E75" s="57" t="s">
        <v>274</v>
      </c>
      <c r="F75" s="58" t="s">
        <v>275</v>
      </c>
      <c r="G75" s="59" t="s">
        <v>108</v>
      </c>
      <c r="H75" s="60">
        <v>1324.05</v>
      </c>
      <c r="I75" s="61">
        <v>396.71</v>
      </c>
      <c r="J75" s="60">
        <v>525263.9</v>
      </c>
      <c r="K75" s="237">
        <v>0</v>
      </c>
      <c r="L75" s="238">
        <f t="shared" si="1"/>
        <v>396.71</v>
      </c>
      <c r="M75" s="239">
        <f t="shared" si="2"/>
        <v>0</v>
      </c>
      <c r="N75" s="243">
        <f t="shared" si="3"/>
        <v>1324.05</v>
      </c>
      <c r="O75" s="240">
        <f t="shared" si="4"/>
        <v>396.71</v>
      </c>
      <c r="P75" s="241">
        <f t="shared" si="5"/>
        <v>525263.87549999997</v>
      </c>
      <c r="Q75" s="185"/>
      <c r="R75" s="185"/>
      <c r="S75" s="185"/>
      <c r="T75" s="185"/>
      <c r="U75" s="185"/>
      <c r="V75" s="185"/>
      <c r="W75" s="185"/>
      <c r="X75" s="185"/>
      <c r="Y75" s="186" t="s">
        <v>1004</v>
      </c>
      <c r="Z75" s="185"/>
      <c r="AA75" s="185"/>
      <c r="AM75" s="191"/>
      <c r="AN75" s="191"/>
      <c r="AU75" s="194"/>
    </row>
    <row r="76" spans="2:49" s="121" customFormat="1" ht="16.5" customHeight="1" x14ac:dyDescent="0.2">
      <c r="B76" s="120"/>
      <c r="C76" s="56" t="s">
        <v>276</v>
      </c>
      <c r="D76" s="56" t="s">
        <v>96</v>
      </c>
      <c r="E76" s="57" t="s">
        <v>277</v>
      </c>
      <c r="F76" s="58" t="s">
        <v>278</v>
      </c>
      <c r="G76" s="59" t="s">
        <v>108</v>
      </c>
      <c r="H76" s="60">
        <v>693.55</v>
      </c>
      <c r="I76" s="61">
        <v>559.51</v>
      </c>
      <c r="J76" s="60">
        <v>388048.2</v>
      </c>
      <c r="K76" s="237">
        <v>0</v>
      </c>
      <c r="L76" s="238">
        <f t="shared" si="1"/>
        <v>559.51</v>
      </c>
      <c r="M76" s="239">
        <f t="shared" si="2"/>
        <v>0</v>
      </c>
      <c r="N76" s="243">
        <f t="shared" si="3"/>
        <v>693.55</v>
      </c>
      <c r="O76" s="240">
        <f t="shared" si="4"/>
        <v>559.51</v>
      </c>
      <c r="P76" s="241">
        <f t="shared" si="5"/>
        <v>388048.16049999994</v>
      </c>
      <c r="Q76" s="185"/>
      <c r="R76" s="185"/>
      <c r="S76" s="185"/>
      <c r="T76" s="185"/>
      <c r="U76" s="185"/>
      <c r="V76" s="185"/>
      <c r="W76" s="185"/>
      <c r="X76" s="185"/>
      <c r="Y76" s="186" t="s">
        <v>1004</v>
      </c>
      <c r="Z76" s="185"/>
      <c r="AA76" s="185"/>
      <c r="AM76" s="191"/>
      <c r="AN76" s="191"/>
      <c r="AU76" s="194"/>
    </row>
    <row r="77" spans="2:49" s="121" customFormat="1" ht="16.5" customHeight="1" x14ac:dyDescent="0.2">
      <c r="B77" s="120"/>
      <c r="C77" s="56" t="s">
        <v>279</v>
      </c>
      <c r="D77" s="56" t="s">
        <v>96</v>
      </c>
      <c r="E77" s="57" t="s">
        <v>280</v>
      </c>
      <c r="F77" s="58" t="s">
        <v>281</v>
      </c>
      <c r="G77" s="59" t="s">
        <v>108</v>
      </c>
      <c r="H77" s="60">
        <v>19.420000000000002</v>
      </c>
      <c r="I77" s="61">
        <v>1615.12</v>
      </c>
      <c r="J77" s="60">
        <v>31365.599999999999</v>
      </c>
      <c r="K77" s="237">
        <v>0</v>
      </c>
      <c r="L77" s="238">
        <f t="shared" si="1"/>
        <v>1615.12</v>
      </c>
      <c r="M77" s="239">
        <f t="shared" si="2"/>
        <v>0</v>
      </c>
      <c r="N77" s="243">
        <f t="shared" si="3"/>
        <v>19.420000000000002</v>
      </c>
      <c r="O77" s="240">
        <f t="shared" si="4"/>
        <v>1615.12</v>
      </c>
      <c r="P77" s="241">
        <f t="shared" si="5"/>
        <v>31365.630400000002</v>
      </c>
      <c r="Q77" s="185"/>
      <c r="R77" s="185"/>
      <c r="S77" s="185"/>
      <c r="T77" s="185"/>
      <c r="U77" s="185"/>
      <c r="V77" s="185"/>
      <c r="W77" s="185"/>
      <c r="X77" s="185"/>
      <c r="Y77" s="186" t="s">
        <v>1004</v>
      </c>
      <c r="Z77" s="185"/>
      <c r="AA77" s="185"/>
      <c r="AM77" s="191"/>
      <c r="AN77" s="191"/>
      <c r="AU77" s="194"/>
    </row>
    <row r="78" spans="2:49" s="121" customFormat="1" ht="16.5" customHeight="1" x14ac:dyDescent="0.2">
      <c r="B78" s="120"/>
      <c r="C78" s="56" t="s">
        <v>282</v>
      </c>
      <c r="D78" s="56" t="s">
        <v>96</v>
      </c>
      <c r="E78" s="57" t="s">
        <v>283</v>
      </c>
      <c r="F78" s="58" t="s">
        <v>284</v>
      </c>
      <c r="G78" s="59" t="s">
        <v>108</v>
      </c>
      <c r="H78" s="60">
        <v>142.11000000000001</v>
      </c>
      <c r="I78" s="61">
        <v>745.05</v>
      </c>
      <c r="J78" s="60">
        <v>105879.1</v>
      </c>
      <c r="K78" s="237">
        <v>0</v>
      </c>
      <c r="L78" s="238">
        <f t="shared" si="1"/>
        <v>745.05</v>
      </c>
      <c r="M78" s="239">
        <f t="shared" si="2"/>
        <v>0</v>
      </c>
      <c r="N78" s="243">
        <f t="shared" si="3"/>
        <v>142.11000000000001</v>
      </c>
      <c r="O78" s="240">
        <f t="shared" si="4"/>
        <v>745.05</v>
      </c>
      <c r="P78" s="241">
        <f t="shared" si="5"/>
        <v>105879.0555</v>
      </c>
      <c r="Q78" s="185"/>
      <c r="R78" s="185"/>
      <c r="S78" s="185"/>
      <c r="T78" s="185"/>
      <c r="U78" s="185"/>
      <c r="V78" s="185"/>
      <c r="W78" s="185"/>
      <c r="X78" s="185"/>
      <c r="Y78" s="185"/>
      <c r="Z78" s="185"/>
      <c r="AA78" s="185"/>
      <c r="AM78" s="191"/>
      <c r="AN78" s="191"/>
      <c r="AU78" s="194"/>
    </row>
    <row r="79" spans="2:49" s="121" customFormat="1" ht="16.5" customHeight="1" x14ac:dyDescent="0.2">
      <c r="B79" s="120"/>
      <c r="C79" s="73" t="s">
        <v>285</v>
      </c>
      <c r="D79" s="73" t="s">
        <v>209</v>
      </c>
      <c r="E79" s="74" t="s">
        <v>286</v>
      </c>
      <c r="F79" s="75" t="s">
        <v>287</v>
      </c>
      <c r="G79" s="76" t="s">
        <v>201</v>
      </c>
      <c r="H79" s="77">
        <v>28.42</v>
      </c>
      <c r="I79" s="78">
        <v>3763.5</v>
      </c>
      <c r="J79" s="77">
        <v>106958.7</v>
      </c>
      <c r="K79" s="237">
        <v>0</v>
      </c>
      <c r="L79" s="238">
        <f t="shared" si="1"/>
        <v>3763.5</v>
      </c>
      <c r="M79" s="239">
        <f t="shared" si="2"/>
        <v>0</v>
      </c>
      <c r="N79" s="243">
        <f t="shared" si="3"/>
        <v>28.42</v>
      </c>
      <c r="O79" s="240">
        <f t="shared" si="4"/>
        <v>3763.5</v>
      </c>
      <c r="P79" s="241">
        <f t="shared" si="5"/>
        <v>106958.67000000001</v>
      </c>
      <c r="Q79" s="185"/>
      <c r="R79" s="185"/>
      <c r="S79" s="185"/>
      <c r="T79" s="185"/>
      <c r="U79" s="185"/>
      <c r="V79" s="185"/>
      <c r="W79" s="185"/>
      <c r="X79" s="185"/>
      <c r="Y79" s="185"/>
      <c r="Z79" s="185"/>
      <c r="AA79" s="185"/>
      <c r="AM79" s="191"/>
      <c r="AN79" s="191"/>
      <c r="AU79" s="194"/>
    </row>
    <row r="80" spans="2:49" s="170" customFormat="1" ht="22.9" customHeight="1" x14ac:dyDescent="0.2">
      <c r="B80" s="165"/>
      <c r="C80" s="252"/>
      <c r="D80" s="253" t="s">
        <v>4</v>
      </c>
      <c r="E80" s="254" t="s">
        <v>115</v>
      </c>
      <c r="F80" s="254" t="s">
        <v>288</v>
      </c>
      <c r="G80" s="252"/>
      <c r="H80" s="252"/>
      <c r="I80" s="255"/>
      <c r="J80" s="256">
        <f>+SUBTOTAL(9,J81:J112)</f>
        <v>4532684.5999999996</v>
      </c>
      <c r="K80" s="257"/>
      <c r="L80" s="258"/>
      <c r="M80" s="259">
        <f>SUM(M81:M112)</f>
        <v>13996.872299999999</v>
      </c>
      <c r="N80" s="260"/>
      <c r="O80" s="261"/>
      <c r="P80" s="259">
        <f>SUM(P81:P112)</f>
        <v>4546681.1509999996</v>
      </c>
      <c r="Q80" s="187"/>
      <c r="R80" s="187"/>
      <c r="S80" s="187"/>
      <c r="T80" s="187"/>
      <c r="U80" s="187"/>
      <c r="V80" s="187"/>
      <c r="W80" s="187"/>
      <c r="X80" s="187"/>
      <c r="Y80" s="187"/>
      <c r="Z80" s="187"/>
      <c r="AA80" s="187"/>
      <c r="AM80" s="218"/>
      <c r="AN80" s="218"/>
    </row>
    <row r="81" spans="2:49" s="121" customFormat="1" ht="16.5" customHeight="1" x14ac:dyDescent="0.2">
      <c r="B81" s="120"/>
      <c r="C81" s="56" t="s">
        <v>289</v>
      </c>
      <c r="D81" s="56" t="s">
        <v>96</v>
      </c>
      <c r="E81" s="57" t="s">
        <v>290</v>
      </c>
      <c r="F81" s="58" t="s">
        <v>291</v>
      </c>
      <c r="G81" s="59" t="s">
        <v>133</v>
      </c>
      <c r="H81" s="60">
        <v>20</v>
      </c>
      <c r="I81" s="61">
        <v>415.61</v>
      </c>
      <c r="J81" s="60">
        <v>8312.2000000000007</v>
      </c>
      <c r="K81" s="237">
        <f t="shared" ref="K81:K82" si="11">ROUND(1365/1296.98*H81-H81,2)</f>
        <v>1.05</v>
      </c>
      <c r="L81" s="238">
        <f t="shared" ref="L81:L124" si="12">I81</f>
        <v>415.61</v>
      </c>
      <c r="M81" s="239">
        <f t="shared" ref="M81:M124" si="13">K81*L81</f>
        <v>436.39050000000003</v>
      </c>
      <c r="N81" s="243">
        <f t="shared" ref="N81:N124" si="14">H81+K81</f>
        <v>21.05</v>
      </c>
      <c r="O81" s="240">
        <f t="shared" ref="O81:O124" si="15">I81</f>
        <v>415.61</v>
      </c>
      <c r="P81" s="241">
        <f t="shared" ref="P81:P124" si="16">N81*O81</f>
        <v>8748.5905000000002</v>
      </c>
      <c r="Q81" s="185"/>
      <c r="R81" s="185"/>
      <c r="S81" s="185"/>
      <c r="T81" s="185"/>
      <c r="U81" s="185"/>
      <c r="V81" s="185"/>
      <c r="W81" s="185"/>
      <c r="X81" s="185"/>
      <c r="Y81" s="185"/>
      <c r="Z81" s="185"/>
      <c r="AA81" s="185"/>
      <c r="AM81" s="191"/>
      <c r="AN81" s="191"/>
    </row>
    <row r="82" spans="2:49" s="121" customFormat="1" ht="16.5" customHeight="1" x14ac:dyDescent="0.2">
      <c r="B82" s="120"/>
      <c r="C82" s="73" t="s">
        <v>292</v>
      </c>
      <c r="D82" s="73" t="s">
        <v>209</v>
      </c>
      <c r="E82" s="74" t="s">
        <v>293</v>
      </c>
      <c r="F82" s="75" t="s">
        <v>294</v>
      </c>
      <c r="G82" s="76" t="s">
        <v>133</v>
      </c>
      <c r="H82" s="77">
        <v>20</v>
      </c>
      <c r="I82" s="78">
        <v>731.26</v>
      </c>
      <c r="J82" s="77">
        <v>14625.2</v>
      </c>
      <c r="K82" s="237">
        <f t="shared" si="11"/>
        <v>1.05</v>
      </c>
      <c r="L82" s="238">
        <f t="shared" si="12"/>
        <v>731.26</v>
      </c>
      <c r="M82" s="239">
        <f t="shared" si="13"/>
        <v>767.82299999999998</v>
      </c>
      <c r="N82" s="243">
        <f t="shared" si="14"/>
        <v>21.05</v>
      </c>
      <c r="O82" s="240">
        <f t="shared" si="15"/>
        <v>731.26</v>
      </c>
      <c r="P82" s="241">
        <f t="shared" si="16"/>
        <v>15393.023000000001</v>
      </c>
      <c r="Q82" s="185"/>
      <c r="R82" s="185"/>
      <c r="S82" s="185"/>
      <c r="T82" s="185"/>
      <c r="U82" s="185"/>
      <c r="V82" s="185"/>
      <c r="W82" s="185"/>
      <c r="X82" s="185"/>
      <c r="Y82" s="185"/>
      <c r="Z82" s="185"/>
      <c r="AA82" s="185"/>
      <c r="AM82" s="191"/>
      <c r="AN82" s="191"/>
    </row>
    <row r="83" spans="2:49" s="121" customFormat="1" ht="16.5" customHeight="1" x14ac:dyDescent="0.2">
      <c r="B83" s="120"/>
      <c r="C83" s="56" t="s">
        <v>295</v>
      </c>
      <c r="D83" s="56" t="s">
        <v>96</v>
      </c>
      <c r="E83" s="57" t="s">
        <v>296</v>
      </c>
      <c r="F83" s="58" t="s">
        <v>297</v>
      </c>
      <c r="G83" s="59" t="s">
        <v>133</v>
      </c>
      <c r="H83" s="60">
        <v>1241.26</v>
      </c>
      <c r="I83" s="61">
        <v>552.39</v>
      </c>
      <c r="J83" s="60">
        <v>685659.6</v>
      </c>
      <c r="K83" s="237">
        <v>8.44</v>
      </c>
      <c r="L83" s="238">
        <f t="shared" si="12"/>
        <v>552.39</v>
      </c>
      <c r="M83" s="239">
        <f t="shared" si="13"/>
        <v>4662.1715999999997</v>
      </c>
      <c r="N83" s="243">
        <f t="shared" si="14"/>
        <v>1249.7</v>
      </c>
      <c r="O83" s="240">
        <f t="shared" si="15"/>
        <v>552.39</v>
      </c>
      <c r="P83" s="241">
        <f t="shared" si="16"/>
        <v>690321.78300000005</v>
      </c>
      <c r="Q83" s="185"/>
      <c r="R83" s="185"/>
      <c r="S83" s="185"/>
      <c r="T83" s="185"/>
      <c r="U83" s="185"/>
      <c r="V83" s="185"/>
      <c r="W83" s="185"/>
      <c r="X83" s="185"/>
      <c r="Y83" s="185"/>
      <c r="Z83" s="185"/>
      <c r="AA83" s="185"/>
      <c r="AM83" s="191"/>
      <c r="AN83" s="191"/>
      <c r="AW83" s="194">
        <f>H83+H86</f>
        <v>1296.98</v>
      </c>
    </row>
    <row r="84" spans="2:49" s="121" customFormat="1" ht="16.5" customHeight="1" x14ac:dyDescent="0.2">
      <c r="B84" s="120"/>
      <c r="C84" s="73" t="s">
        <v>298</v>
      </c>
      <c r="D84" s="73" t="s">
        <v>209</v>
      </c>
      <c r="E84" s="74" t="s">
        <v>299</v>
      </c>
      <c r="F84" s="75" t="s">
        <v>300</v>
      </c>
      <c r="G84" s="76" t="s">
        <v>133</v>
      </c>
      <c r="H84" s="77">
        <v>1241.26</v>
      </c>
      <c r="I84" s="78">
        <v>1060.07</v>
      </c>
      <c r="J84" s="77">
        <v>1315822.5</v>
      </c>
      <c r="K84" s="237">
        <v>8.44</v>
      </c>
      <c r="L84" s="238">
        <f t="shared" si="12"/>
        <v>1060.07</v>
      </c>
      <c r="M84" s="239">
        <f t="shared" si="13"/>
        <v>8946.9907999999996</v>
      </c>
      <c r="N84" s="243">
        <f t="shared" si="14"/>
        <v>1249.7</v>
      </c>
      <c r="O84" s="240">
        <f t="shared" si="15"/>
        <v>1060.07</v>
      </c>
      <c r="P84" s="241">
        <f t="shared" si="16"/>
        <v>1324769.4790000001</v>
      </c>
      <c r="Q84" s="185"/>
      <c r="R84" s="185"/>
      <c r="S84" s="185"/>
      <c r="T84" s="185"/>
      <c r="U84" s="185"/>
      <c r="V84" s="185"/>
      <c r="W84" s="185"/>
      <c r="X84" s="185"/>
      <c r="Y84" s="185"/>
      <c r="Z84" s="185"/>
      <c r="AA84" s="185"/>
      <c r="AM84" s="191"/>
      <c r="AN84" s="191"/>
      <c r="AW84" s="314"/>
    </row>
    <row r="85" spans="2:49" s="121" customFormat="1" ht="16.5" customHeight="1" x14ac:dyDescent="0.2">
      <c r="B85" s="120"/>
      <c r="C85" s="73" t="s">
        <v>301</v>
      </c>
      <c r="D85" s="73" t="s">
        <v>209</v>
      </c>
      <c r="E85" s="74" t="s">
        <v>302</v>
      </c>
      <c r="F85" s="75" t="s">
        <v>303</v>
      </c>
      <c r="G85" s="76" t="s">
        <v>99</v>
      </c>
      <c r="H85" s="77">
        <v>86</v>
      </c>
      <c r="I85" s="78">
        <v>739.15</v>
      </c>
      <c r="J85" s="77">
        <v>63566.9</v>
      </c>
      <c r="K85" s="237">
        <v>0</v>
      </c>
      <c r="L85" s="238">
        <f t="shared" si="12"/>
        <v>739.15</v>
      </c>
      <c r="M85" s="239">
        <f t="shared" si="13"/>
        <v>0</v>
      </c>
      <c r="N85" s="243">
        <f t="shared" si="14"/>
        <v>86</v>
      </c>
      <c r="O85" s="240">
        <f t="shared" si="15"/>
        <v>739.15</v>
      </c>
      <c r="P85" s="241">
        <f t="shared" si="16"/>
        <v>63566.9</v>
      </c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M85" s="191"/>
      <c r="AN85" s="191"/>
    </row>
    <row r="86" spans="2:49" s="121" customFormat="1" ht="16.5" customHeight="1" x14ac:dyDescent="0.2">
      <c r="B86" s="120"/>
      <c r="C86" s="56" t="s">
        <v>304</v>
      </c>
      <c r="D86" s="56" t="s">
        <v>96</v>
      </c>
      <c r="E86" s="57" t="s">
        <v>305</v>
      </c>
      <c r="F86" s="58" t="s">
        <v>306</v>
      </c>
      <c r="G86" s="59" t="s">
        <v>133</v>
      </c>
      <c r="H86" s="60">
        <v>55.72</v>
      </c>
      <c r="I86" s="61">
        <v>857.52</v>
      </c>
      <c r="J86" s="60">
        <v>47781</v>
      </c>
      <c r="K86" s="237">
        <v>-0.4</v>
      </c>
      <c r="L86" s="238">
        <f t="shared" si="12"/>
        <v>857.52</v>
      </c>
      <c r="M86" s="239">
        <f t="shared" si="13"/>
        <v>-343.00800000000004</v>
      </c>
      <c r="N86" s="243">
        <f t="shared" si="14"/>
        <v>55.32</v>
      </c>
      <c r="O86" s="240">
        <f t="shared" si="15"/>
        <v>857.52</v>
      </c>
      <c r="P86" s="241">
        <f t="shared" si="16"/>
        <v>47438.006399999998</v>
      </c>
      <c r="Q86" s="185"/>
      <c r="R86" s="185"/>
      <c r="S86" s="185"/>
      <c r="T86" s="185"/>
      <c r="U86" s="185"/>
      <c r="V86" s="185"/>
      <c r="W86" s="185"/>
      <c r="X86" s="185"/>
      <c r="Y86" s="185"/>
      <c r="Z86" s="185"/>
      <c r="AA86" s="185"/>
      <c r="AM86" s="191"/>
      <c r="AN86" s="191"/>
    </row>
    <row r="87" spans="2:49" s="121" customFormat="1" ht="16.5" customHeight="1" x14ac:dyDescent="0.2">
      <c r="B87" s="120"/>
      <c r="C87" s="73" t="s">
        <v>307</v>
      </c>
      <c r="D87" s="73" t="s">
        <v>209</v>
      </c>
      <c r="E87" s="74" t="s">
        <v>308</v>
      </c>
      <c r="F87" s="75" t="s">
        <v>309</v>
      </c>
      <c r="G87" s="76" t="s">
        <v>133</v>
      </c>
      <c r="H87" s="77">
        <v>55.72</v>
      </c>
      <c r="I87" s="78">
        <v>2735.66</v>
      </c>
      <c r="J87" s="77">
        <v>152431</v>
      </c>
      <c r="K87" s="237">
        <v>-0.4</v>
      </c>
      <c r="L87" s="238">
        <f t="shared" si="12"/>
        <v>2735.66</v>
      </c>
      <c r="M87" s="239">
        <f t="shared" si="13"/>
        <v>-1094.2639999999999</v>
      </c>
      <c r="N87" s="243">
        <f t="shared" si="14"/>
        <v>55.32</v>
      </c>
      <c r="O87" s="240">
        <f t="shared" si="15"/>
        <v>2735.66</v>
      </c>
      <c r="P87" s="241">
        <f t="shared" si="16"/>
        <v>151336.71119999999</v>
      </c>
      <c r="Q87" s="185"/>
      <c r="R87" s="185"/>
      <c r="S87" s="185"/>
      <c r="T87" s="185"/>
      <c r="U87" s="185"/>
      <c r="V87" s="185"/>
      <c r="W87" s="185"/>
      <c r="X87" s="185"/>
      <c r="Y87" s="185"/>
      <c r="Z87" s="185"/>
      <c r="AA87" s="185"/>
      <c r="AM87" s="191"/>
      <c r="AN87" s="191"/>
    </row>
    <row r="88" spans="2:49" s="121" customFormat="1" ht="16.5" customHeight="1" x14ac:dyDescent="0.2">
      <c r="B88" s="120"/>
      <c r="C88" s="73" t="s">
        <v>310</v>
      </c>
      <c r="D88" s="73" t="s">
        <v>209</v>
      </c>
      <c r="E88" s="74" t="s">
        <v>311</v>
      </c>
      <c r="F88" s="75" t="s">
        <v>312</v>
      </c>
      <c r="G88" s="76" t="s">
        <v>99</v>
      </c>
      <c r="H88" s="77">
        <v>3</v>
      </c>
      <c r="I88" s="78">
        <v>1341.52</v>
      </c>
      <c r="J88" s="77">
        <v>4024.6</v>
      </c>
      <c r="K88" s="237">
        <v>0</v>
      </c>
      <c r="L88" s="238">
        <f t="shared" si="12"/>
        <v>1341.52</v>
      </c>
      <c r="M88" s="239">
        <f t="shared" si="13"/>
        <v>0</v>
      </c>
      <c r="N88" s="243">
        <f t="shared" si="14"/>
        <v>3</v>
      </c>
      <c r="O88" s="240">
        <f t="shared" si="15"/>
        <v>1341.52</v>
      </c>
      <c r="P88" s="241">
        <f t="shared" si="16"/>
        <v>4024.56</v>
      </c>
      <c r="Q88" s="185"/>
      <c r="R88" s="185"/>
      <c r="S88" s="185"/>
      <c r="T88" s="185"/>
      <c r="U88" s="185"/>
      <c r="V88" s="185"/>
      <c r="W88" s="185"/>
      <c r="X88" s="185"/>
      <c r="Y88" s="185"/>
      <c r="Z88" s="185"/>
      <c r="AA88" s="185"/>
      <c r="AM88" s="191"/>
      <c r="AN88" s="191"/>
    </row>
    <row r="89" spans="2:49" s="121" customFormat="1" ht="16.5" customHeight="1" x14ac:dyDescent="0.2">
      <c r="B89" s="120"/>
      <c r="C89" s="56" t="s">
        <v>313</v>
      </c>
      <c r="D89" s="56" t="s">
        <v>96</v>
      </c>
      <c r="E89" s="57" t="s">
        <v>314</v>
      </c>
      <c r="F89" s="58" t="s">
        <v>315</v>
      </c>
      <c r="G89" s="59" t="s">
        <v>99</v>
      </c>
      <c r="H89" s="60">
        <v>10</v>
      </c>
      <c r="I89" s="61">
        <v>195.97</v>
      </c>
      <c r="J89" s="60">
        <v>1959.7</v>
      </c>
      <c r="K89" s="237">
        <v>0</v>
      </c>
      <c r="L89" s="238">
        <f t="shared" si="12"/>
        <v>195.97</v>
      </c>
      <c r="M89" s="239">
        <f t="shared" si="13"/>
        <v>0</v>
      </c>
      <c r="N89" s="243">
        <f t="shared" si="14"/>
        <v>10</v>
      </c>
      <c r="O89" s="240">
        <f t="shared" si="15"/>
        <v>195.97</v>
      </c>
      <c r="P89" s="241">
        <f t="shared" si="16"/>
        <v>1959.7</v>
      </c>
      <c r="Q89" s="185"/>
      <c r="R89" s="185"/>
      <c r="S89" s="185"/>
      <c r="T89" s="185"/>
      <c r="U89" s="185"/>
      <c r="V89" s="185"/>
      <c r="W89" s="185"/>
      <c r="X89" s="185"/>
      <c r="Y89" s="185"/>
      <c r="Z89" s="185"/>
      <c r="AA89" s="185"/>
      <c r="AM89" s="191"/>
      <c r="AN89" s="191"/>
    </row>
    <row r="90" spans="2:49" s="121" customFormat="1" ht="16.5" customHeight="1" x14ac:dyDescent="0.2">
      <c r="B90" s="120"/>
      <c r="C90" s="73" t="s">
        <v>316</v>
      </c>
      <c r="D90" s="73" t="s">
        <v>209</v>
      </c>
      <c r="E90" s="74" t="s">
        <v>317</v>
      </c>
      <c r="F90" s="75" t="s">
        <v>318</v>
      </c>
      <c r="G90" s="76" t="s">
        <v>99</v>
      </c>
      <c r="H90" s="77">
        <v>10</v>
      </c>
      <c r="I90" s="78">
        <v>660.24</v>
      </c>
      <c r="J90" s="77">
        <v>6602.4</v>
      </c>
      <c r="K90" s="237">
        <v>0</v>
      </c>
      <c r="L90" s="238">
        <f t="shared" si="12"/>
        <v>660.24</v>
      </c>
      <c r="M90" s="239">
        <f t="shared" si="13"/>
        <v>0</v>
      </c>
      <c r="N90" s="243">
        <f t="shared" si="14"/>
        <v>10</v>
      </c>
      <c r="O90" s="240">
        <f t="shared" si="15"/>
        <v>660.24</v>
      </c>
      <c r="P90" s="241">
        <f t="shared" si="16"/>
        <v>6602.4</v>
      </c>
      <c r="Q90" s="185"/>
      <c r="R90" s="185"/>
      <c r="S90" s="185"/>
      <c r="T90" s="185"/>
      <c r="U90" s="185"/>
      <c r="V90" s="185"/>
      <c r="W90" s="185"/>
      <c r="X90" s="185"/>
      <c r="Y90" s="185"/>
      <c r="Z90" s="185"/>
      <c r="AA90" s="185"/>
      <c r="AM90" s="191"/>
      <c r="AN90" s="191"/>
    </row>
    <row r="91" spans="2:49" s="121" customFormat="1" ht="16.5" customHeight="1" x14ac:dyDescent="0.2">
      <c r="B91" s="120"/>
      <c r="C91" s="56" t="s">
        <v>319</v>
      </c>
      <c r="D91" s="56" t="s">
        <v>96</v>
      </c>
      <c r="E91" s="57" t="s">
        <v>320</v>
      </c>
      <c r="F91" s="58" t="s">
        <v>321</v>
      </c>
      <c r="G91" s="59" t="s">
        <v>99</v>
      </c>
      <c r="H91" s="60">
        <v>28</v>
      </c>
      <c r="I91" s="61">
        <v>260.41000000000003</v>
      </c>
      <c r="J91" s="60">
        <v>7291.5</v>
      </c>
      <c r="K91" s="237">
        <v>0</v>
      </c>
      <c r="L91" s="238">
        <f t="shared" si="12"/>
        <v>260.41000000000003</v>
      </c>
      <c r="M91" s="239">
        <f t="shared" si="13"/>
        <v>0</v>
      </c>
      <c r="N91" s="243">
        <f t="shared" si="14"/>
        <v>28</v>
      </c>
      <c r="O91" s="240">
        <f t="shared" si="15"/>
        <v>260.41000000000003</v>
      </c>
      <c r="P91" s="241">
        <f t="shared" si="16"/>
        <v>7291.4800000000005</v>
      </c>
      <c r="Q91" s="185"/>
      <c r="R91" s="185"/>
      <c r="S91" s="185"/>
      <c r="T91" s="185"/>
      <c r="U91" s="185"/>
      <c r="V91" s="185"/>
      <c r="W91" s="185"/>
      <c r="X91" s="185"/>
      <c r="Y91" s="185"/>
      <c r="Z91" s="185"/>
      <c r="AA91" s="185"/>
      <c r="AM91" s="191"/>
      <c r="AN91" s="191"/>
      <c r="AT91" s="334" t="s">
        <v>1181</v>
      </c>
    </row>
    <row r="92" spans="2:49" s="121" customFormat="1" ht="16.5" customHeight="1" x14ac:dyDescent="0.2">
      <c r="B92" s="120"/>
      <c r="C92" s="73" t="s">
        <v>322</v>
      </c>
      <c r="D92" s="73" t="s">
        <v>209</v>
      </c>
      <c r="E92" s="74" t="s">
        <v>323</v>
      </c>
      <c r="F92" s="75" t="s">
        <v>324</v>
      </c>
      <c r="G92" s="76" t="s">
        <v>99</v>
      </c>
      <c r="H92" s="77">
        <v>10.15</v>
      </c>
      <c r="I92" s="78">
        <v>1839.99</v>
      </c>
      <c r="J92" s="77">
        <v>18675.900000000001</v>
      </c>
      <c r="K92" s="237">
        <v>0</v>
      </c>
      <c r="L92" s="238">
        <f t="shared" si="12"/>
        <v>1839.99</v>
      </c>
      <c r="M92" s="239">
        <f t="shared" si="13"/>
        <v>0</v>
      </c>
      <c r="N92" s="243">
        <f t="shared" si="14"/>
        <v>10.15</v>
      </c>
      <c r="O92" s="240">
        <f t="shared" si="15"/>
        <v>1839.99</v>
      </c>
      <c r="P92" s="241">
        <f t="shared" si="16"/>
        <v>18675.898499999999</v>
      </c>
      <c r="Q92" s="185"/>
      <c r="R92" s="185"/>
      <c r="S92" s="185"/>
      <c r="T92" s="185"/>
      <c r="U92" s="185"/>
      <c r="V92" s="185"/>
      <c r="W92" s="185"/>
      <c r="X92" s="185"/>
      <c r="Y92" s="185"/>
      <c r="Z92" s="185"/>
      <c r="AA92" s="185"/>
      <c r="AM92" s="191"/>
      <c r="AN92" s="191"/>
      <c r="AT92" s="334"/>
    </row>
    <row r="93" spans="2:49" s="121" customFormat="1" ht="24" customHeight="1" x14ac:dyDescent="0.2">
      <c r="B93" s="120"/>
      <c r="C93" s="73" t="s">
        <v>325</v>
      </c>
      <c r="D93" s="73" t="s">
        <v>209</v>
      </c>
      <c r="E93" s="74" t="s">
        <v>326</v>
      </c>
      <c r="F93" s="75" t="s">
        <v>327</v>
      </c>
      <c r="G93" s="76" t="s">
        <v>99</v>
      </c>
      <c r="H93" s="77">
        <v>18.27</v>
      </c>
      <c r="I93" s="78">
        <v>1801.85</v>
      </c>
      <c r="J93" s="77">
        <v>32919.800000000003</v>
      </c>
      <c r="K93" s="237">
        <v>0</v>
      </c>
      <c r="L93" s="238">
        <f t="shared" si="12"/>
        <v>1801.85</v>
      </c>
      <c r="M93" s="239">
        <f t="shared" si="13"/>
        <v>0</v>
      </c>
      <c r="N93" s="243">
        <f t="shared" si="14"/>
        <v>18.27</v>
      </c>
      <c r="O93" s="240">
        <f t="shared" si="15"/>
        <v>1801.85</v>
      </c>
      <c r="P93" s="241">
        <f t="shared" si="16"/>
        <v>32919.799500000001</v>
      </c>
      <c r="Q93" s="185"/>
      <c r="R93" s="185"/>
      <c r="S93" s="185"/>
      <c r="T93" s="185"/>
      <c r="U93" s="185"/>
      <c r="V93" s="185"/>
      <c r="W93" s="185"/>
      <c r="X93" s="185"/>
      <c r="Y93" s="185"/>
      <c r="Z93" s="185"/>
      <c r="AA93" s="185"/>
      <c r="AG93" s="190" t="s">
        <v>1067</v>
      </c>
      <c r="AH93" s="191" t="s">
        <v>1080</v>
      </c>
      <c r="AI93" s="190" t="s">
        <v>1094</v>
      </c>
      <c r="AJ93" s="191" t="s">
        <v>1107</v>
      </c>
      <c r="AM93" s="191"/>
      <c r="AN93" s="191"/>
      <c r="AT93" s="334"/>
    </row>
    <row r="94" spans="2:49" s="121" customFormat="1" ht="16.5" customHeight="1" x14ac:dyDescent="0.2">
      <c r="B94" s="120"/>
      <c r="C94" s="56" t="s">
        <v>328</v>
      </c>
      <c r="D94" s="56" t="s">
        <v>96</v>
      </c>
      <c r="E94" s="57" t="s">
        <v>329</v>
      </c>
      <c r="F94" s="58" t="s">
        <v>330</v>
      </c>
      <c r="G94" s="59" t="s">
        <v>99</v>
      </c>
      <c r="H94" s="60">
        <v>110</v>
      </c>
      <c r="I94" s="61">
        <v>219.64</v>
      </c>
      <c r="J94" s="60">
        <v>24160.400000000001</v>
      </c>
      <c r="K94" s="237">
        <v>0</v>
      </c>
      <c r="L94" s="238">
        <f t="shared" si="12"/>
        <v>219.64</v>
      </c>
      <c r="M94" s="239">
        <f t="shared" si="13"/>
        <v>0</v>
      </c>
      <c r="N94" s="243">
        <f t="shared" si="14"/>
        <v>110</v>
      </c>
      <c r="O94" s="240">
        <f t="shared" si="15"/>
        <v>219.64</v>
      </c>
      <c r="P94" s="241">
        <f t="shared" si="16"/>
        <v>24160.399999999998</v>
      </c>
      <c r="Q94" s="185"/>
      <c r="R94" s="185"/>
      <c r="S94" s="185"/>
      <c r="T94" s="185"/>
      <c r="U94" s="185"/>
      <c r="V94" s="185"/>
      <c r="W94" s="185"/>
      <c r="X94" s="185"/>
      <c r="Y94" s="185"/>
      <c r="Z94" s="185"/>
      <c r="AA94" s="185"/>
      <c r="AM94" s="338"/>
      <c r="AN94" s="191"/>
    </row>
    <row r="95" spans="2:49" s="121" customFormat="1" ht="16.5" customHeight="1" x14ac:dyDescent="0.2">
      <c r="B95" s="120"/>
      <c r="C95" s="73" t="s">
        <v>331</v>
      </c>
      <c r="D95" s="73" t="s">
        <v>209</v>
      </c>
      <c r="E95" s="74" t="s">
        <v>332</v>
      </c>
      <c r="F95" s="75" t="s">
        <v>333</v>
      </c>
      <c r="G95" s="76" t="s">
        <v>99</v>
      </c>
      <c r="H95" s="77">
        <v>55.83</v>
      </c>
      <c r="I95" s="78">
        <v>1129.77</v>
      </c>
      <c r="J95" s="77">
        <v>63075.1</v>
      </c>
      <c r="K95" s="237">
        <v>0</v>
      </c>
      <c r="L95" s="238">
        <f t="shared" si="12"/>
        <v>1129.77</v>
      </c>
      <c r="M95" s="239">
        <f t="shared" si="13"/>
        <v>0</v>
      </c>
      <c r="N95" s="243">
        <f t="shared" si="14"/>
        <v>55.83</v>
      </c>
      <c r="O95" s="240">
        <f t="shared" si="15"/>
        <v>1129.77</v>
      </c>
      <c r="P95" s="241">
        <f t="shared" si="16"/>
        <v>63075.059099999999</v>
      </c>
      <c r="Q95" s="185"/>
      <c r="R95" s="185"/>
      <c r="S95" s="185"/>
      <c r="T95" s="185"/>
      <c r="U95" s="185"/>
      <c r="V95" s="185"/>
      <c r="W95" s="185"/>
      <c r="X95" s="185"/>
      <c r="Y95" s="185"/>
      <c r="Z95" s="185"/>
      <c r="AA95" s="185"/>
      <c r="AM95" s="338"/>
      <c r="AN95" s="191"/>
    </row>
    <row r="96" spans="2:49" s="121" customFormat="1" ht="16.5" customHeight="1" x14ac:dyDescent="0.2">
      <c r="B96" s="120"/>
      <c r="C96" s="73" t="s">
        <v>334</v>
      </c>
      <c r="D96" s="73" t="s">
        <v>209</v>
      </c>
      <c r="E96" s="74" t="s">
        <v>335</v>
      </c>
      <c r="F96" s="75" t="s">
        <v>336</v>
      </c>
      <c r="G96" s="76" t="s">
        <v>99</v>
      </c>
      <c r="H96" s="77">
        <v>55.83</v>
      </c>
      <c r="I96" s="78">
        <v>1129.77</v>
      </c>
      <c r="J96" s="77">
        <v>63075.1</v>
      </c>
      <c r="K96" s="237">
        <v>0</v>
      </c>
      <c r="L96" s="238">
        <f t="shared" si="12"/>
        <v>1129.77</v>
      </c>
      <c r="M96" s="239">
        <f t="shared" si="13"/>
        <v>0</v>
      </c>
      <c r="N96" s="243">
        <f t="shared" si="14"/>
        <v>55.83</v>
      </c>
      <c r="O96" s="240">
        <f t="shared" si="15"/>
        <v>1129.77</v>
      </c>
      <c r="P96" s="241">
        <f t="shared" si="16"/>
        <v>63075.059099999999</v>
      </c>
      <c r="Q96" s="185"/>
      <c r="R96" s="185"/>
      <c r="S96" s="185"/>
      <c r="T96" s="185"/>
      <c r="U96" s="185"/>
      <c r="V96" s="185"/>
      <c r="W96" s="185"/>
      <c r="X96" s="185"/>
      <c r="Y96" s="185"/>
      <c r="Z96" s="185"/>
      <c r="AA96" s="185"/>
      <c r="AM96" s="338"/>
      <c r="AN96" s="191"/>
    </row>
    <row r="97" spans="2:49" s="121" customFormat="1" ht="16.5" customHeight="1" x14ac:dyDescent="0.2">
      <c r="B97" s="120"/>
      <c r="C97" s="56" t="s">
        <v>337</v>
      </c>
      <c r="D97" s="56" t="s">
        <v>96</v>
      </c>
      <c r="E97" s="57" t="s">
        <v>338</v>
      </c>
      <c r="F97" s="58" t="s">
        <v>339</v>
      </c>
      <c r="G97" s="59" t="s">
        <v>99</v>
      </c>
      <c r="H97" s="60">
        <v>5</v>
      </c>
      <c r="I97" s="61">
        <v>531.35</v>
      </c>
      <c r="J97" s="60">
        <v>2656.8</v>
      </c>
      <c r="K97" s="237">
        <v>0</v>
      </c>
      <c r="L97" s="238">
        <f t="shared" si="12"/>
        <v>531.35</v>
      </c>
      <c r="M97" s="239">
        <f t="shared" si="13"/>
        <v>0</v>
      </c>
      <c r="N97" s="243">
        <f t="shared" si="14"/>
        <v>5</v>
      </c>
      <c r="O97" s="240">
        <f t="shared" si="15"/>
        <v>531.35</v>
      </c>
      <c r="P97" s="241">
        <f t="shared" si="16"/>
        <v>2656.75</v>
      </c>
      <c r="Q97" s="185"/>
      <c r="R97" s="185"/>
      <c r="S97" s="185"/>
      <c r="T97" s="185"/>
      <c r="U97" s="185"/>
      <c r="V97" s="185"/>
      <c r="W97" s="185"/>
      <c r="X97" s="185"/>
      <c r="Y97" s="185"/>
      <c r="Z97" s="185"/>
      <c r="AA97" s="185"/>
      <c r="AM97" s="191"/>
      <c r="AN97" s="191"/>
      <c r="AT97" s="334" t="s">
        <v>1181</v>
      </c>
    </row>
    <row r="98" spans="2:49" s="121" customFormat="1" ht="16.5" customHeight="1" x14ac:dyDescent="0.2">
      <c r="B98" s="120"/>
      <c r="C98" s="73" t="s">
        <v>340</v>
      </c>
      <c r="D98" s="73" t="s">
        <v>209</v>
      </c>
      <c r="E98" s="74" t="s">
        <v>341</v>
      </c>
      <c r="F98" s="75" t="s">
        <v>342</v>
      </c>
      <c r="G98" s="76" t="s">
        <v>99</v>
      </c>
      <c r="H98" s="77">
        <v>2.0299999999999998</v>
      </c>
      <c r="I98" s="78">
        <v>2423.9499999999998</v>
      </c>
      <c r="J98" s="77">
        <v>4920.6000000000004</v>
      </c>
      <c r="K98" s="237">
        <v>0</v>
      </c>
      <c r="L98" s="238">
        <f t="shared" si="12"/>
        <v>2423.9499999999998</v>
      </c>
      <c r="M98" s="239">
        <f t="shared" si="13"/>
        <v>0</v>
      </c>
      <c r="N98" s="243">
        <f t="shared" si="14"/>
        <v>2.0299999999999998</v>
      </c>
      <c r="O98" s="240">
        <f t="shared" si="15"/>
        <v>2423.9499999999998</v>
      </c>
      <c r="P98" s="241">
        <f t="shared" si="16"/>
        <v>4920.6184999999996</v>
      </c>
      <c r="Q98" s="185"/>
      <c r="R98" s="185"/>
      <c r="S98" s="185"/>
      <c r="T98" s="185"/>
      <c r="U98" s="185"/>
      <c r="V98" s="185"/>
      <c r="W98" s="185"/>
      <c r="X98" s="185"/>
      <c r="Y98" s="185"/>
      <c r="Z98" s="185"/>
      <c r="AA98" s="185"/>
      <c r="AM98" s="191"/>
      <c r="AN98" s="191"/>
      <c r="AT98" s="334"/>
    </row>
    <row r="99" spans="2:49" s="121" customFormat="1" ht="16.5" customHeight="1" x14ac:dyDescent="0.2">
      <c r="B99" s="120"/>
      <c r="C99" s="73" t="s">
        <v>343</v>
      </c>
      <c r="D99" s="73" t="s">
        <v>209</v>
      </c>
      <c r="E99" s="74" t="s">
        <v>344</v>
      </c>
      <c r="F99" s="75" t="s">
        <v>345</v>
      </c>
      <c r="G99" s="76" t="s">
        <v>99</v>
      </c>
      <c r="H99" s="77">
        <v>3.05</v>
      </c>
      <c r="I99" s="78">
        <v>2305.58</v>
      </c>
      <c r="J99" s="77">
        <v>7032</v>
      </c>
      <c r="K99" s="237">
        <v>0</v>
      </c>
      <c r="L99" s="238">
        <f t="shared" si="12"/>
        <v>2305.58</v>
      </c>
      <c r="M99" s="239">
        <f t="shared" si="13"/>
        <v>0</v>
      </c>
      <c r="N99" s="243">
        <f t="shared" si="14"/>
        <v>3.05</v>
      </c>
      <c r="O99" s="240">
        <f t="shared" si="15"/>
        <v>2305.58</v>
      </c>
      <c r="P99" s="241">
        <f t="shared" si="16"/>
        <v>7032.0189999999993</v>
      </c>
      <c r="Q99" s="185"/>
      <c r="R99" s="185"/>
      <c r="S99" s="185"/>
      <c r="T99" s="185"/>
      <c r="U99" s="185"/>
      <c r="V99" s="185"/>
      <c r="W99" s="185"/>
      <c r="X99" s="185"/>
      <c r="Y99" s="185"/>
      <c r="Z99" s="185"/>
      <c r="AA99" s="185"/>
      <c r="AM99" s="191"/>
      <c r="AN99" s="191"/>
      <c r="AT99" s="334"/>
    </row>
    <row r="100" spans="2:49" s="121" customFormat="1" ht="33.75" customHeight="1" x14ac:dyDescent="0.2">
      <c r="B100" s="120"/>
      <c r="C100" s="56" t="s">
        <v>346</v>
      </c>
      <c r="D100" s="56" t="s">
        <v>96</v>
      </c>
      <c r="E100" s="57" t="s">
        <v>347</v>
      </c>
      <c r="F100" s="58" t="s">
        <v>348</v>
      </c>
      <c r="G100" s="59" t="s">
        <v>133</v>
      </c>
      <c r="H100" s="60">
        <v>1296.98</v>
      </c>
      <c r="I100" s="61">
        <v>68</v>
      </c>
      <c r="J100" s="60">
        <v>88194.6</v>
      </c>
      <c r="K100" s="237">
        <v>8.0399999999999991</v>
      </c>
      <c r="L100" s="238">
        <f t="shared" si="12"/>
        <v>68</v>
      </c>
      <c r="M100" s="239">
        <f t="shared" si="13"/>
        <v>546.71999999999991</v>
      </c>
      <c r="N100" s="243">
        <f t="shared" si="14"/>
        <v>1305.02</v>
      </c>
      <c r="O100" s="240">
        <f t="shared" si="15"/>
        <v>68</v>
      </c>
      <c r="P100" s="241">
        <f t="shared" si="16"/>
        <v>88741.36</v>
      </c>
      <c r="Q100" s="185"/>
      <c r="R100" s="185"/>
      <c r="S100" s="185"/>
      <c r="T100" s="185"/>
      <c r="U100" s="185"/>
      <c r="V100" s="185"/>
      <c r="W100" s="185"/>
      <c r="X100" s="185"/>
      <c r="Y100" s="185"/>
      <c r="Z100" s="185"/>
      <c r="AA100" s="185"/>
      <c r="AM100" s="191"/>
      <c r="AN100" s="191"/>
      <c r="AP100" s="186" t="s">
        <v>1168</v>
      </c>
      <c r="AW100" s="237">
        <v>1295.7</v>
      </c>
    </row>
    <row r="101" spans="2:49" s="121" customFormat="1" ht="16.5" customHeight="1" x14ac:dyDescent="0.2">
      <c r="B101" s="120"/>
      <c r="C101" s="56" t="s">
        <v>349</v>
      </c>
      <c r="D101" s="56" t="s">
        <v>96</v>
      </c>
      <c r="E101" s="57" t="s">
        <v>350</v>
      </c>
      <c r="F101" s="58" t="s">
        <v>351</v>
      </c>
      <c r="G101" s="59" t="s">
        <v>99</v>
      </c>
      <c r="H101" s="60">
        <v>117</v>
      </c>
      <c r="I101" s="61">
        <v>808.86</v>
      </c>
      <c r="J101" s="60">
        <v>94636.6</v>
      </c>
      <c r="K101" s="237">
        <v>0</v>
      </c>
      <c r="L101" s="238">
        <f t="shared" si="12"/>
        <v>808.86</v>
      </c>
      <c r="M101" s="239">
        <f t="shared" si="13"/>
        <v>0</v>
      </c>
      <c r="N101" s="243">
        <f t="shared" si="14"/>
        <v>117</v>
      </c>
      <c r="O101" s="240">
        <f t="shared" si="15"/>
        <v>808.86</v>
      </c>
      <c r="P101" s="241">
        <f t="shared" si="16"/>
        <v>94636.62</v>
      </c>
      <c r="Q101" s="185"/>
      <c r="R101" s="185"/>
      <c r="S101" s="185"/>
      <c r="T101" s="185"/>
      <c r="U101" s="185"/>
      <c r="V101" s="185"/>
      <c r="W101" s="185"/>
      <c r="X101" s="185"/>
      <c r="Y101" s="185"/>
      <c r="Z101" s="185"/>
      <c r="AA101" s="185"/>
      <c r="AM101" s="191"/>
      <c r="AN101" s="191"/>
    </row>
    <row r="102" spans="2:49" s="121" customFormat="1" ht="16.5" customHeight="1" x14ac:dyDescent="0.2">
      <c r="B102" s="120"/>
      <c r="C102" s="73" t="s">
        <v>352</v>
      </c>
      <c r="D102" s="73" t="s">
        <v>209</v>
      </c>
      <c r="E102" s="74" t="s">
        <v>353</v>
      </c>
      <c r="F102" s="75" t="s">
        <v>354</v>
      </c>
      <c r="G102" s="76" t="s">
        <v>99</v>
      </c>
      <c r="H102" s="77">
        <v>34</v>
      </c>
      <c r="I102" s="78">
        <v>3481.39</v>
      </c>
      <c r="J102" s="77">
        <v>118367.3</v>
      </c>
      <c r="K102" s="237">
        <v>0</v>
      </c>
      <c r="L102" s="238">
        <f t="shared" si="12"/>
        <v>3481.39</v>
      </c>
      <c r="M102" s="239">
        <f t="shared" si="13"/>
        <v>0</v>
      </c>
      <c r="N102" s="243">
        <f t="shared" si="14"/>
        <v>34</v>
      </c>
      <c r="O102" s="240">
        <f t="shared" si="15"/>
        <v>3481.39</v>
      </c>
      <c r="P102" s="241">
        <f t="shared" si="16"/>
        <v>118367.26</v>
      </c>
      <c r="Q102" s="185"/>
      <c r="R102" s="185"/>
      <c r="S102" s="185"/>
      <c r="T102" s="185"/>
      <c r="U102" s="185"/>
      <c r="V102" s="185"/>
      <c r="W102" s="185"/>
      <c r="X102" s="185"/>
      <c r="Y102" s="185"/>
      <c r="Z102" s="185"/>
      <c r="AA102" s="185"/>
      <c r="AM102" s="191"/>
      <c r="AN102" s="191"/>
    </row>
    <row r="103" spans="2:49" s="121" customFormat="1" ht="16.5" customHeight="1" x14ac:dyDescent="0.2">
      <c r="B103" s="120"/>
      <c r="C103" s="73" t="s">
        <v>355</v>
      </c>
      <c r="D103" s="73" t="s">
        <v>209</v>
      </c>
      <c r="E103" s="74" t="s">
        <v>356</v>
      </c>
      <c r="F103" s="75" t="s">
        <v>357</v>
      </c>
      <c r="G103" s="76" t="s">
        <v>99</v>
      </c>
      <c r="H103" s="77">
        <v>43</v>
      </c>
      <c r="I103" s="78">
        <v>1202.1099999999999</v>
      </c>
      <c r="J103" s="77">
        <v>51690.7</v>
      </c>
      <c r="K103" s="237">
        <v>0</v>
      </c>
      <c r="L103" s="238">
        <f t="shared" si="12"/>
        <v>1202.1099999999999</v>
      </c>
      <c r="M103" s="239">
        <f t="shared" si="13"/>
        <v>0</v>
      </c>
      <c r="N103" s="243">
        <f t="shared" si="14"/>
        <v>43</v>
      </c>
      <c r="O103" s="240">
        <f t="shared" si="15"/>
        <v>1202.1099999999999</v>
      </c>
      <c r="P103" s="241">
        <f t="shared" si="16"/>
        <v>51690.729999999996</v>
      </c>
      <c r="Q103" s="185"/>
      <c r="R103" s="185"/>
      <c r="S103" s="185"/>
      <c r="T103" s="185"/>
      <c r="U103" s="185"/>
      <c r="V103" s="185"/>
      <c r="W103" s="185"/>
      <c r="X103" s="185"/>
      <c r="Y103" s="185"/>
      <c r="Z103" s="185"/>
      <c r="AA103" s="185"/>
      <c r="AM103" s="191"/>
      <c r="AN103" s="191"/>
    </row>
    <row r="104" spans="2:49" s="121" customFormat="1" ht="16.5" customHeight="1" x14ac:dyDescent="0.2">
      <c r="B104" s="120"/>
      <c r="C104" s="73" t="s">
        <v>358</v>
      </c>
      <c r="D104" s="73" t="s">
        <v>209</v>
      </c>
      <c r="E104" s="74" t="s">
        <v>359</v>
      </c>
      <c r="F104" s="75" t="s">
        <v>360</v>
      </c>
      <c r="G104" s="76" t="s">
        <v>99</v>
      </c>
      <c r="H104" s="77">
        <v>40</v>
      </c>
      <c r="I104" s="78">
        <v>775.98</v>
      </c>
      <c r="J104" s="77">
        <v>31039.200000000001</v>
      </c>
      <c r="K104" s="237">
        <v>0</v>
      </c>
      <c r="L104" s="238">
        <f t="shared" si="12"/>
        <v>775.98</v>
      </c>
      <c r="M104" s="239">
        <f t="shared" si="13"/>
        <v>0</v>
      </c>
      <c r="N104" s="243">
        <f t="shared" si="14"/>
        <v>40</v>
      </c>
      <c r="O104" s="240">
        <f t="shared" si="15"/>
        <v>775.98</v>
      </c>
      <c r="P104" s="241">
        <f t="shared" si="16"/>
        <v>31039.200000000001</v>
      </c>
      <c r="Q104" s="185"/>
      <c r="R104" s="185"/>
      <c r="S104" s="185"/>
      <c r="T104" s="185"/>
      <c r="U104" s="185"/>
      <c r="V104" s="185"/>
      <c r="W104" s="185"/>
      <c r="X104" s="185"/>
      <c r="Y104" s="185"/>
      <c r="Z104" s="185"/>
      <c r="AA104" s="185"/>
      <c r="AM104" s="191"/>
      <c r="AN104" s="191"/>
    </row>
    <row r="105" spans="2:49" s="121" customFormat="1" ht="16.5" customHeight="1" x14ac:dyDescent="0.2">
      <c r="B105" s="120"/>
      <c r="C105" s="73" t="s">
        <v>361</v>
      </c>
      <c r="D105" s="73" t="s">
        <v>209</v>
      </c>
      <c r="E105" s="74" t="s">
        <v>362</v>
      </c>
      <c r="F105" s="75" t="s">
        <v>363</v>
      </c>
      <c r="G105" s="76" t="s">
        <v>99</v>
      </c>
      <c r="H105" s="77">
        <v>175</v>
      </c>
      <c r="I105" s="78">
        <v>211.75</v>
      </c>
      <c r="J105" s="77">
        <v>37056.300000000003</v>
      </c>
      <c r="K105" s="237">
        <v>0</v>
      </c>
      <c r="L105" s="238">
        <f t="shared" si="12"/>
        <v>211.75</v>
      </c>
      <c r="M105" s="239">
        <f t="shared" si="13"/>
        <v>0</v>
      </c>
      <c r="N105" s="243">
        <f t="shared" si="14"/>
        <v>175</v>
      </c>
      <c r="O105" s="240">
        <f t="shared" si="15"/>
        <v>211.75</v>
      </c>
      <c r="P105" s="241">
        <f t="shared" si="16"/>
        <v>37056.25</v>
      </c>
      <c r="Q105" s="185"/>
      <c r="R105" s="185"/>
      <c r="S105" s="185"/>
      <c r="T105" s="185"/>
      <c r="U105" s="185"/>
      <c r="V105" s="185"/>
      <c r="W105" s="185"/>
      <c r="X105" s="185"/>
      <c r="Y105" s="185"/>
      <c r="Z105" s="185"/>
      <c r="AA105" s="185"/>
      <c r="AM105" s="191"/>
      <c r="AN105" s="191"/>
    </row>
    <row r="106" spans="2:49" s="121" customFormat="1" ht="16.5" customHeight="1" x14ac:dyDescent="0.2">
      <c r="B106" s="120"/>
      <c r="C106" s="56" t="s">
        <v>364</v>
      </c>
      <c r="D106" s="56" t="s">
        <v>96</v>
      </c>
      <c r="E106" s="57" t="s">
        <v>365</v>
      </c>
      <c r="F106" s="58" t="s">
        <v>366</v>
      </c>
      <c r="G106" s="59" t="s">
        <v>99</v>
      </c>
      <c r="H106" s="60">
        <v>58</v>
      </c>
      <c r="I106" s="61">
        <v>808.86</v>
      </c>
      <c r="J106" s="60">
        <v>46913.9</v>
      </c>
      <c r="K106" s="237">
        <v>0</v>
      </c>
      <c r="L106" s="238">
        <f t="shared" si="12"/>
        <v>808.86</v>
      </c>
      <c r="M106" s="239">
        <f t="shared" si="13"/>
        <v>0</v>
      </c>
      <c r="N106" s="243">
        <f t="shared" si="14"/>
        <v>58</v>
      </c>
      <c r="O106" s="240">
        <f t="shared" si="15"/>
        <v>808.86</v>
      </c>
      <c r="P106" s="241">
        <f t="shared" si="16"/>
        <v>46913.88</v>
      </c>
      <c r="Q106" s="185"/>
      <c r="R106" s="185"/>
      <c r="S106" s="185"/>
      <c r="T106" s="185"/>
      <c r="U106" s="185"/>
      <c r="V106" s="185"/>
      <c r="W106" s="185"/>
      <c r="X106" s="185"/>
      <c r="Y106" s="185"/>
      <c r="Z106" s="185"/>
      <c r="AA106" s="185"/>
      <c r="AM106" s="191"/>
      <c r="AN106" s="191"/>
    </row>
    <row r="107" spans="2:49" s="121" customFormat="1" ht="16.5" customHeight="1" x14ac:dyDescent="0.2">
      <c r="B107" s="120"/>
      <c r="C107" s="73" t="s">
        <v>367</v>
      </c>
      <c r="D107" s="73" t="s">
        <v>209</v>
      </c>
      <c r="E107" s="74" t="s">
        <v>368</v>
      </c>
      <c r="F107" s="75" t="s">
        <v>369</v>
      </c>
      <c r="G107" s="76" t="s">
        <v>99</v>
      </c>
      <c r="H107" s="77">
        <v>58</v>
      </c>
      <c r="I107" s="78">
        <v>1530.92</v>
      </c>
      <c r="J107" s="77">
        <v>88793.4</v>
      </c>
      <c r="K107" s="237">
        <v>0</v>
      </c>
      <c r="L107" s="238">
        <f t="shared" si="12"/>
        <v>1530.92</v>
      </c>
      <c r="M107" s="239">
        <f t="shared" si="13"/>
        <v>0</v>
      </c>
      <c r="N107" s="243">
        <f t="shared" si="14"/>
        <v>58</v>
      </c>
      <c r="O107" s="240">
        <f t="shared" si="15"/>
        <v>1530.92</v>
      </c>
      <c r="P107" s="241">
        <f t="shared" si="16"/>
        <v>88793.36</v>
      </c>
      <c r="Q107" s="185"/>
      <c r="R107" s="185"/>
      <c r="S107" s="185"/>
      <c r="T107" s="185"/>
      <c r="U107" s="185"/>
      <c r="V107" s="185"/>
      <c r="W107" s="185"/>
      <c r="X107" s="185"/>
      <c r="Y107" s="185"/>
      <c r="Z107" s="185"/>
      <c r="AA107" s="185"/>
      <c r="AM107" s="191"/>
      <c r="AN107" s="191"/>
    </row>
    <row r="108" spans="2:49" s="121" customFormat="1" ht="16.5" customHeight="1" x14ac:dyDescent="0.2">
      <c r="B108" s="120"/>
      <c r="C108" s="56" t="s">
        <v>370</v>
      </c>
      <c r="D108" s="56" t="s">
        <v>96</v>
      </c>
      <c r="E108" s="57" t="s">
        <v>371</v>
      </c>
      <c r="F108" s="58" t="s">
        <v>372</v>
      </c>
      <c r="G108" s="59" t="s">
        <v>99</v>
      </c>
      <c r="H108" s="60">
        <v>58</v>
      </c>
      <c r="I108" s="61">
        <v>3234.12</v>
      </c>
      <c r="J108" s="60">
        <v>187579</v>
      </c>
      <c r="K108" s="237">
        <v>0</v>
      </c>
      <c r="L108" s="238">
        <f t="shared" si="12"/>
        <v>3234.12</v>
      </c>
      <c r="M108" s="239">
        <f t="shared" si="13"/>
        <v>0</v>
      </c>
      <c r="N108" s="243">
        <f t="shared" si="14"/>
        <v>58</v>
      </c>
      <c r="O108" s="240">
        <f t="shared" si="15"/>
        <v>3234.12</v>
      </c>
      <c r="P108" s="241">
        <f t="shared" si="16"/>
        <v>187578.96</v>
      </c>
      <c r="Q108" s="185"/>
      <c r="R108" s="185"/>
      <c r="S108" s="185"/>
      <c r="T108" s="185"/>
      <c r="U108" s="185"/>
      <c r="V108" s="185"/>
      <c r="W108" s="185"/>
      <c r="X108" s="185"/>
      <c r="Y108" s="185"/>
      <c r="Z108" s="185"/>
      <c r="AA108" s="185"/>
      <c r="AM108" s="191"/>
      <c r="AN108" s="191"/>
    </row>
    <row r="109" spans="2:49" s="121" customFormat="1" ht="16.5" customHeight="1" x14ac:dyDescent="0.2">
      <c r="B109" s="120"/>
      <c r="C109" s="73" t="s">
        <v>373</v>
      </c>
      <c r="D109" s="73" t="s">
        <v>209</v>
      </c>
      <c r="E109" s="74" t="s">
        <v>374</v>
      </c>
      <c r="F109" s="75" t="s">
        <v>375</v>
      </c>
      <c r="G109" s="76" t="s">
        <v>99</v>
      </c>
      <c r="H109" s="77">
        <v>58</v>
      </c>
      <c r="I109" s="78">
        <v>14588.41</v>
      </c>
      <c r="J109" s="77">
        <v>846127.8</v>
      </c>
      <c r="K109" s="237">
        <v>0</v>
      </c>
      <c r="L109" s="238">
        <f t="shared" si="12"/>
        <v>14588.41</v>
      </c>
      <c r="M109" s="239">
        <f t="shared" si="13"/>
        <v>0</v>
      </c>
      <c r="N109" s="243">
        <f t="shared" si="14"/>
        <v>58</v>
      </c>
      <c r="O109" s="240">
        <f t="shared" si="15"/>
        <v>14588.41</v>
      </c>
      <c r="P109" s="241">
        <f t="shared" si="16"/>
        <v>846127.78</v>
      </c>
      <c r="Q109" s="185"/>
      <c r="R109" s="185"/>
      <c r="S109" s="185"/>
      <c r="T109" s="185"/>
      <c r="U109" s="185"/>
      <c r="V109" s="185"/>
      <c r="W109" s="185"/>
      <c r="X109" s="185"/>
      <c r="Y109" s="185"/>
      <c r="Z109" s="185"/>
      <c r="AA109" s="185"/>
      <c r="AM109" s="191"/>
      <c r="AN109" s="191"/>
    </row>
    <row r="110" spans="2:49" s="121" customFormat="1" ht="16.5" customHeight="1" x14ac:dyDescent="0.2">
      <c r="B110" s="120"/>
      <c r="C110" s="56" t="s">
        <v>376</v>
      </c>
      <c r="D110" s="56" t="s">
        <v>96</v>
      </c>
      <c r="E110" s="57" t="s">
        <v>377</v>
      </c>
      <c r="F110" s="58" t="s">
        <v>378</v>
      </c>
      <c r="G110" s="59" t="s">
        <v>99</v>
      </c>
      <c r="H110" s="60">
        <v>58</v>
      </c>
      <c r="I110" s="61">
        <v>485.32</v>
      </c>
      <c r="J110" s="60">
        <v>28148.6</v>
      </c>
      <c r="K110" s="237">
        <v>0</v>
      </c>
      <c r="L110" s="238">
        <f t="shared" si="12"/>
        <v>485.32</v>
      </c>
      <c r="M110" s="239">
        <f t="shared" si="13"/>
        <v>0</v>
      </c>
      <c r="N110" s="243">
        <f t="shared" si="14"/>
        <v>58</v>
      </c>
      <c r="O110" s="240">
        <f t="shared" si="15"/>
        <v>485.32</v>
      </c>
      <c r="P110" s="241">
        <f t="shared" si="16"/>
        <v>28148.560000000001</v>
      </c>
      <c r="Q110" s="185"/>
      <c r="R110" s="185"/>
      <c r="S110" s="185"/>
      <c r="T110" s="185"/>
      <c r="U110" s="185"/>
      <c r="V110" s="185"/>
      <c r="W110" s="185"/>
      <c r="X110" s="185"/>
      <c r="Y110" s="185"/>
      <c r="Z110" s="185"/>
      <c r="AA110" s="185"/>
      <c r="AM110" s="191"/>
      <c r="AN110" s="191"/>
    </row>
    <row r="111" spans="2:49" s="121" customFormat="1" ht="16.5" customHeight="1" x14ac:dyDescent="0.2">
      <c r="B111" s="120"/>
      <c r="C111" s="73" t="s">
        <v>379</v>
      </c>
      <c r="D111" s="73" t="s">
        <v>209</v>
      </c>
      <c r="E111" s="74" t="s">
        <v>380</v>
      </c>
      <c r="F111" s="75" t="s">
        <v>381</v>
      </c>
      <c r="G111" s="76" t="s">
        <v>99</v>
      </c>
      <c r="H111" s="77">
        <v>58</v>
      </c>
      <c r="I111" s="78">
        <v>6510.34</v>
      </c>
      <c r="J111" s="77">
        <v>377599.7</v>
      </c>
      <c r="K111" s="237">
        <v>0</v>
      </c>
      <c r="L111" s="238">
        <f t="shared" si="12"/>
        <v>6510.34</v>
      </c>
      <c r="M111" s="239">
        <f t="shared" si="13"/>
        <v>0</v>
      </c>
      <c r="N111" s="243">
        <f t="shared" si="14"/>
        <v>58</v>
      </c>
      <c r="O111" s="240">
        <f t="shared" si="15"/>
        <v>6510.34</v>
      </c>
      <c r="P111" s="241">
        <f t="shared" si="16"/>
        <v>377599.72000000003</v>
      </c>
      <c r="Q111" s="185"/>
      <c r="R111" s="185"/>
      <c r="S111" s="185"/>
      <c r="T111" s="185"/>
      <c r="U111" s="185"/>
      <c r="V111" s="185"/>
      <c r="W111" s="185"/>
      <c r="X111" s="185"/>
      <c r="Y111" s="185"/>
      <c r="Z111" s="185"/>
      <c r="AA111" s="185"/>
      <c r="AM111" s="191"/>
      <c r="AN111" s="191"/>
    </row>
    <row r="112" spans="2:49" s="121" customFormat="1" ht="16.5" customHeight="1" x14ac:dyDescent="0.2">
      <c r="B112" s="120"/>
      <c r="C112" s="56" t="s">
        <v>382</v>
      </c>
      <c r="D112" s="56" t="s">
        <v>96</v>
      </c>
      <c r="E112" s="57" t="s">
        <v>383</v>
      </c>
      <c r="F112" s="58" t="s">
        <v>384</v>
      </c>
      <c r="G112" s="59" t="s">
        <v>133</v>
      </c>
      <c r="H112" s="60">
        <v>1296.98</v>
      </c>
      <c r="I112" s="61">
        <v>9.2100000000000009</v>
      </c>
      <c r="J112" s="60">
        <v>11945.2</v>
      </c>
      <c r="K112" s="237">
        <v>8.0399999999999991</v>
      </c>
      <c r="L112" s="238">
        <f t="shared" si="12"/>
        <v>9.2100000000000009</v>
      </c>
      <c r="M112" s="239">
        <f t="shared" si="13"/>
        <v>74.048400000000001</v>
      </c>
      <c r="N112" s="243">
        <f t="shared" si="14"/>
        <v>1305.02</v>
      </c>
      <c r="O112" s="240">
        <f t="shared" si="15"/>
        <v>9.2100000000000009</v>
      </c>
      <c r="P112" s="241">
        <f t="shared" si="16"/>
        <v>12019.234200000001</v>
      </c>
      <c r="Q112" s="185"/>
      <c r="R112" s="185"/>
      <c r="S112" s="185"/>
      <c r="T112" s="185"/>
      <c r="U112" s="185"/>
      <c r="V112" s="185"/>
      <c r="W112" s="185"/>
      <c r="X112" s="185"/>
      <c r="Y112" s="185"/>
      <c r="Z112" s="185"/>
      <c r="AA112" s="185"/>
      <c r="AM112" s="191"/>
      <c r="AN112" s="191"/>
      <c r="AW112" s="237">
        <f t="shared" ref="AW112" si="17">ROUND(1357/1286.98*H112,2)</f>
        <v>1367.54</v>
      </c>
    </row>
    <row r="113" spans="2:49" s="170" customFormat="1" ht="22.9" customHeight="1" x14ac:dyDescent="0.2">
      <c r="B113" s="165"/>
      <c r="C113" s="252"/>
      <c r="D113" s="253" t="s">
        <v>4</v>
      </c>
      <c r="E113" s="254" t="s">
        <v>118</v>
      </c>
      <c r="F113" s="254" t="s">
        <v>385</v>
      </c>
      <c r="G113" s="252"/>
      <c r="H113" s="252"/>
      <c r="I113" s="255"/>
      <c r="J113" s="256">
        <f>+SUBTOTAL(9,J114:J117)</f>
        <v>263494.40000000002</v>
      </c>
      <c r="K113" s="257"/>
      <c r="L113" s="258"/>
      <c r="M113" s="259">
        <f>SUM(M114:M117)</f>
        <v>0</v>
      </c>
      <c r="N113" s="260"/>
      <c r="O113" s="261"/>
      <c r="P113" s="259">
        <f>SUM(P114:P117)</f>
        <v>263494.35000000003</v>
      </c>
      <c r="Q113" s="187"/>
      <c r="R113" s="187"/>
      <c r="S113" s="187"/>
      <c r="T113" s="187"/>
      <c r="U113" s="187"/>
      <c r="V113" s="187"/>
      <c r="W113" s="187"/>
      <c r="X113" s="187"/>
      <c r="Y113" s="187"/>
      <c r="Z113" s="187"/>
      <c r="AA113" s="187"/>
      <c r="AM113" s="218"/>
      <c r="AN113" s="218"/>
    </row>
    <row r="114" spans="2:49" s="121" customFormat="1" ht="16.5" customHeight="1" x14ac:dyDescent="0.2">
      <c r="B114" s="120"/>
      <c r="C114" s="56" t="s">
        <v>386</v>
      </c>
      <c r="D114" s="56" t="s">
        <v>96</v>
      </c>
      <c r="E114" s="57" t="s">
        <v>387</v>
      </c>
      <c r="F114" s="58" t="s">
        <v>388</v>
      </c>
      <c r="G114" s="59" t="s">
        <v>133</v>
      </c>
      <c r="H114" s="60">
        <v>1261</v>
      </c>
      <c r="I114" s="61">
        <v>87.65</v>
      </c>
      <c r="J114" s="60">
        <v>110526.7</v>
      </c>
      <c r="K114" s="237">
        <v>0</v>
      </c>
      <c r="L114" s="238">
        <f t="shared" si="12"/>
        <v>87.65</v>
      </c>
      <c r="M114" s="239">
        <f t="shared" si="13"/>
        <v>0</v>
      </c>
      <c r="N114" s="243">
        <f t="shared" si="14"/>
        <v>1261</v>
      </c>
      <c r="O114" s="240">
        <f t="shared" si="15"/>
        <v>87.65</v>
      </c>
      <c r="P114" s="241">
        <f t="shared" si="16"/>
        <v>110526.65000000001</v>
      </c>
      <c r="Q114" s="185"/>
      <c r="R114" s="185"/>
      <c r="S114" s="185"/>
      <c r="T114" s="185"/>
      <c r="U114" s="185"/>
      <c r="V114" s="185"/>
      <c r="W114" s="185"/>
      <c r="X114" s="185"/>
      <c r="Y114" s="186" t="s">
        <v>1004</v>
      </c>
      <c r="Z114" s="185"/>
      <c r="AA114" s="185"/>
      <c r="AM114" s="191"/>
      <c r="AN114" s="191"/>
    </row>
    <row r="115" spans="2:49" s="121" customFormat="1" ht="16.5" customHeight="1" x14ac:dyDescent="0.2">
      <c r="B115" s="120"/>
      <c r="C115" s="56" t="s">
        <v>389</v>
      </c>
      <c r="D115" s="56" t="s">
        <v>96</v>
      </c>
      <c r="E115" s="57" t="s">
        <v>390</v>
      </c>
      <c r="F115" s="58" t="s">
        <v>391</v>
      </c>
      <c r="G115" s="59" t="s">
        <v>133</v>
      </c>
      <c r="H115" s="60">
        <v>1261</v>
      </c>
      <c r="I115" s="61">
        <v>72.34</v>
      </c>
      <c r="J115" s="60">
        <v>91220.7</v>
      </c>
      <c r="K115" s="237">
        <v>0</v>
      </c>
      <c r="L115" s="238">
        <f t="shared" si="12"/>
        <v>72.34</v>
      </c>
      <c r="M115" s="239">
        <f t="shared" si="13"/>
        <v>0</v>
      </c>
      <c r="N115" s="243">
        <f t="shared" si="14"/>
        <v>1261</v>
      </c>
      <c r="O115" s="240">
        <f t="shared" si="15"/>
        <v>72.34</v>
      </c>
      <c r="P115" s="241">
        <f t="shared" si="16"/>
        <v>91220.74</v>
      </c>
      <c r="Q115" s="185"/>
      <c r="R115" s="185"/>
      <c r="S115" s="185"/>
      <c r="T115" s="185"/>
      <c r="U115" s="185"/>
      <c r="V115" s="185"/>
      <c r="W115" s="185"/>
      <c r="X115" s="185"/>
      <c r="Y115" s="186" t="s">
        <v>1004</v>
      </c>
      <c r="Z115" s="185"/>
      <c r="AA115" s="185"/>
      <c r="AM115" s="191"/>
      <c r="AN115" s="191"/>
    </row>
    <row r="116" spans="2:49" s="121" customFormat="1" ht="16.5" customHeight="1" x14ac:dyDescent="0.2">
      <c r="B116" s="120"/>
      <c r="C116" s="56" t="s">
        <v>392</v>
      </c>
      <c r="D116" s="56" t="s">
        <v>96</v>
      </c>
      <c r="E116" s="57" t="s">
        <v>393</v>
      </c>
      <c r="F116" s="58" t="s">
        <v>394</v>
      </c>
      <c r="G116" s="59" t="s">
        <v>99</v>
      </c>
      <c r="H116" s="60">
        <v>11</v>
      </c>
      <c r="I116" s="61">
        <v>1148.19</v>
      </c>
      <c r="J116" s="60">
        <v>12630.1</v>
      </c>
      <c r="K116" s="237">
        <v>0</v>
      </c>
      <c r="L116" s="238">
        <f t="shared" si="12"/>
        <v>1148.19</v>
      </c>
      <c r="M116" s="239">
        <f t="shared" si="13"/>
        <v>0</v>
      </c>
      <c r="N116" s="243">
        <f t="shared" si="14"/>
        <v>11</v>
      </c>
      <c r="O116" s="240">
        <f t="shared" si="15"/>
        <v>1148.19</v>
      </c>
      <c r="P116" s="241">
        <f t="shared" si="16"/>
        <v>12630.09</v>
      </c>
      <c r="Q116" s="185"/>
      <c r="R116" s="185"/>
      <c r="S116" s="185"/>
      <c r="T116" s="185"/>
      <c r="U116" s="185"/>
      <c r="V116" s="185"/>
      <c r="W116" s="185"/>
      <c r="X116" s="185"/>
      <c r="Y116" s="185"/>
      <c r="Z116" s="185"/>
      <c r="AA116" s="185"/>
      <c r="AM116" s="191"/>
      <c r="AN116" s="191"/>
      <c r="AT116" s="337" t="s">
        <v>1182</v>
      </c>
      <c r="AU116" s="121" t="s">
        <v>1191</v>
      </c>
    </row>
    <row r="117" spans="2:49" s="121" customFormat="1" ht="16.5" customHeight="1" x14ac:dyDescent="0.2">
      <c r="B117" s="120"/>
      <c r="C117" s="56" t="s">
        <v>395</v>
      </c>
      <c r="D117" s="56" t="s">
        <v>96</v>
      </c>
      <c r="E117" s="57" t="s">
        <v>396</v>
      </c>
      <c r="F117" s="58" t="s">
        <v>397</v>
      </c>
      <c r="G117" s="59" t="s">
        <v>99</v>
      </c>
      <c r="H117" s="60">
        <v>11</v>
      </c>
      <c r="I117" s="61">
        <v>4465.17</v>
      </c>
      <c r="J117" s="60">
        <v>49116.9</v>
      </c>
      <c r="K117" s="237">
        <v>0</v>
      </c>
      <c r="L117" s="238">
        <f t="shared" si="12"/>
        <v>4465.17</v>
      </c>
      <c r="M117" s="239">
        <f t="shared" si="13"/>
        <v>0</v>
      </c>
      <c r="N117" s="243">
        <f t="shared" si="14"/>
        <v>11</v>
      </c>
      <c r="O117" s="240">
        <f t="shared" si="15"/>
        <v>4465.17</v>
      </c>
      <c r="P117" s="241">
        <f t="shared" si="16"/>
        <v>49116.87</v>
      </c>
      <c r="Q117" s="185"/>
      <c r="R117" s="185"/>
      <c r="S117" s="185"/>
      <c r="T117" s="185"/>
      <c r="U117" s="185"/>
      <c r="V117" s="185"/>
      <c r="W117" s="185"/>
      <c r="X117" s="185"/>
      <c r="Y117" s="185"/>
      <c r="Z117" s="185"/>
      <c r="AA117" s="185"/>
      <c r="AM117" s="191"/>
      <c r="AN117" s="191"/>
      <c r="AT117" s="337"/>
    </row>
    <row r="118" spans="2:49" s="170" customFormat="1" ht="22.9" customHeight="1" x14ac:dyDescent="0.2">
      <c r="B118" s="165"/>
      <c r="C118" s="252"/>
      <c r="D118" s="253" t="s">
        <v>4</v>
      </c>
      <c r="E118" s="254" t="s">
        <v>398</v>
      </c>
      <c r="F118" s="254" t="s">
        <v>399</v>
      </c>
      <c r="G118" s="252"/>
      <c r="H118" s="252"/>
      <c r="I118" s="255"/>
      <c r="J118" s="256">
        <f>+SUBTOTAL(9,J119:J122)</f>
        <v>325489.2</v>
      </c>
      <c r="K118" s="257"/>
      <c r="L118" s="258"/>
      <c r="M118" s="259">
        <f>SUM(M119:M122)</f>
        <v>1468.6799000000001</v>
      </c>
      <c r="N118" s="260"/>
      <c r="O118" s="261"/>
      <c r="P118" s="259">
        <f>SUM(P119:P122)</f>
        <v>326957.93069999997</v>
      </c>
      <c r="Q118" s="187"/>
      <c r="R118" s="187"/>
      <c r="S118" s="187"/>
      <c r="T118" s="187"/>
      <c r="U118" s="187"/>
      <c r="V118" s="187"/>
      <c r="W118" s="187"/>
      <c r="X118" s="187"/>
      <c r="Y118" s="187"/>
      <c r="Z118" s="187"/>
      <c r="AA118" s="187"/>
      <c r="AM118" s="218"/>
      <c r="AN118" s="218"/>
    </row>
    <row r="119" spans="2:49" s="121" customFormat="1" ht="16.5" customHeight="1" x14ac:dyDescent="0.2">
      <c r="B119" s="120"/>
      <c r="C119" s="56" t="s">
        <v>400</v>
      </c>
      <c r="D119" s="56" t="s">
        <v>96</v>
      </c>
      <c r="E119" s="57" t="s">
        <v>401</v>
      </c>
      <c r="F119" s="58" t="s">
        <v>402</v>
      </c>
      <c r="G119" s="59" t="s">
        <v>201</v>
      </c>
      <c r="H119" s="60">
        <v>945.74</v>
      </c>
      <c r="I119" s="61">
        <v>151.66</v>
      </c>
      <c r="J119" s="60">
        <v>143430.9</v>
      </c>
      <c r="K119" s="237">
        <f t="shared" ref="K119:K124" si="18">ROUND(1365/1357*AW119-AW119,2)</f>
        <v>5.88</v>
      </c>
      <c r="L119" s="238">
        <f t="shared" si="12"/>
        <v>151.66</v>
      </c>
      <c r="M119" s="239">
        <f t="shared" si="13"/>
        <v>891.76080000000002</v>
      </c>
      <c r="N119" s="243">
        <f t="shared" si="14"/>
        <v>951.62</v>
      </c>
      <c r="O119" s="240">
        <f t="shared" si="15"/>
        <v>151.66</v>
      </c>
      <c r="P119" s="241">
        <f t="shared" si="16"/>
        <v>144322.68919999999</v>
      </c>
      <c r="Q119" s="185"/>
      <c r="R119" s="185"/>
      <c r="S119" s="185"/>
      <c r="T119" s="185"/>
      <c r="U119" s="185"/>
      <c r="V119" s="185"/>
      <c r="W119" s="185"/>
      <c r="X119" s="185"/>
      <c r="Y119" s="185"/>
      <c r="Z119" s="185"/>
      <c r="AA119" s="185"/>
      <c r="AM119" s="191"/>
      <c r="AN119" s="191"/>
      <c r="AW119" s="237">
        <f t="shared" ref="AW119:AW124" si="19">ROUND(1357/1286.98*H119,2)</f>
        <v>997.19</v>
      </c>
    </row>
    <row r="120" spans="2:49" s="121" customFormat="1" ht="16.5" customHeight="1" x14ac:dyDescent="0.2">
      <c r="B120" s="120"/>
      <c r="C120" s="56" t="s">
        <v>403</v>
      </c>
      <c r="D120" s="56" t="s">
        <v>96</v>
      </c>
      <c r="E120" s="57" t="s">
        <v>404</v>
      </c>
      <c r="F120" s="58" t="s">
        <v>405</v>
      </c>
      <c r="G120" s="59" t="s">
        <v>201</v>
      </c>
      <c r="H120" s="60">
        <v>12.13</v>
      </c>
      <c r="I120" s="61">
        <v>154.66999999999999</v>
      </c>
      <c r="J120" s="60">
        <v>1876.1</v>
      </c>
      <c r="K120" s="237">
        <f t="shared" si="18"/>
        <v>0.08</v>
      </c>
      <c r="L120" s="238">
        <f t="shared" si="12"/>
        <v>154.66999999999999</v>
      </c>
      <c r="M120" s="239">
        <f t="shared" si="13"/>
        <v>12.3736</v>
      </c>
      <c r="N120" s="243">
        <f t="shared" si="14"/>
        <v>12.21</v>
      </c>
      <c r="O120" s="240">
        <f t="shared" si="15"/>
        <v>154.66999999999999</v>
      </c>
      <c r="P120" s="241">
        <f t="shared" si="16"/>
        <v>1888.5207</v>
      </c>
      <c r="Q120" s="185"/>
      <c r="R120" s="185"/>
      <c r="S120" s="185"/>
      <c r="T120" s="185"/>
      <c r="U120" s="185"/>
      <c r="V120" s="185"/>
      <c r="W120" s="185"/>
      <c r="X120" s="185"/>
      <c r="Y120" s="185"/>
      <c r="Z120" s="185"/>
      <c r="AA120" s="185"/>
      <c r="AM120" s="191"/>
      <c r="AN120" s="191"/>
      <c r="AW120" s="237">
        <f t="shared" si="19"/>
        <v>12.79</v>
      </c>
    </row>
    <row r="121" spans="2:49" s="121" customFormat="1" ht="16.5" customHeight="1" x14ac:dyDescent="0.2">
      <c r="B121" s="120"/>
      <c r="C121" s="56" t="s">
        <v>406</v>
      </c>
      <c r="D121" s="56" t="s">
        <v>96</v>
      </c>
      <c r="E121" s="57" t="s">
        <v>407</v>
      </c>
      <c r="F121" s="58" t="s">
        <v>408</v>
      </c>
      <c r="G121" s="59" t="s">
        <v>201</v>
      </c>
      <c r="H121" s="60">
        <v>347.03</v>
      </c>
      <c r="I121" s="61">
        <v>257.77999999999997</v>
      </c>
      <c r="J121" s="60">
        <v>89457.4</v>
      </c>
      <c r="K121" s="237">
        <v>0</v>
      </c>
      <c r="L121" s="238">
        <f t="shared" si="12"/>
        <v>257.77999999999997</v>
      </c>
      <c r="M121" s="239">
        <f t="shared" si="13"/>
        <v>0</v>
      </c>
      <c r="N121" s="243">
        <f t="shared" si="14"/>
        <v>347.03</v>
      </c>
      <c r="O121" s="240">
        <f t="shared" si="15"/>
        <v>257.77999999999997</v>
      </c>
      <c r="P121" s="241">
        <f t="shared" si="16"/>
        <v>89457.393399999986</v>
      </c>
      <c r="Q121" s="185"/>
      <c r="R121" s="185"/>
      <c r="S121" s="185"/>
      <c r="T121" s="185"/>
      <c r="U121" s="185"/>
      <c r="V121" s="185"/>
      <c r="W121" s="185"/>
      <c r="X121" s="185"/>
      <c r="Y121" s="185"/>
      <c r="Z121" s="185"/>
      <c r="AA121" s="185"/>
      <c r="AM121" s="191"/>
      <c r="AN121" s="191"/>
      <c r="AW121" s="237"/>
    </row>
    <row r="122" spans="2:49" s="121" customFormat="1" ht="16.5" customHeight="1" x14ac:dyDescent="0.2">
      <c r="B122" s="120"/>
      <c r="C122" s="56" t="s">
        <v>409</v>
      </c>
      <c r="D122" s="56" t="s">
        <v>96</v>
      </c>
      <c r="E122" s="57" t="s">
        <v>410</v>
      </c>
      <c r="F122" s="58" t="s">
        <v>411</v>
      </c>
      <c r="G122" s="59" t="s">
        <v>201</v>
      </c>
      <c r="H122" s="60">
        <v>586.57000000000005</v>
      </c>
      <c r="I122" s="61">
        <v>154.66999999999999</v>
      </c>
      <c r="J122" s="60">
        <v>90724.800000000003</v>
      </c>
      <c r="K122" s="237">
        <f t="shared" si="18"/>
        <v>3.65</v>
      </c>
      <c r="L122" s="238">
        <f t="shared" si="12"/>
        <v>154.66999999999999</v>
      </c>
      <c r="M122" s="239">
        <f t="shared" si="13"/>
        <v>564.54549999999995</v>
      </c>
      <c r="N122" s="243">
        <f t="shared" si="14"/>
        <v>590.22</v>
      </c>
      <c r="O122" s="240">
        <f t="shared" si="15"/>
        <v>154.66999999999999</v>
      </c>
      <c r="P122" s="241">
        <f t="shared" si="16"/>
        <v>91289.327399999995</v>
      </c>
      <c r="Q122" s="185"/>
      <c r="R122" s="185"/>
      <c r="S122" s="185"/>
      <c r="T122" s="185"/>
      <c r="U122" s="185"/>
      <c r="V122" s="185"/>
      <c r="W122" s="185"/>
      <c r="X122" s="185"/>
      <c r="Y122" s="185"/>
      <c r="Z122" s="185"/>
      <c r="AA122" s="185"/>
      <c r="AM122" s="191"/>
      <c r="AN122" s="191"/>
      <c r="AW122" s="237">
        <f t="shared" si="19"/>
        <v>618.48</v>
      </c>
    </row>
    <row r="123" spans="2:49" s="170" customFormat="1" ht="22.9" customHeight="1" x14ac:dyDescent="0.2">
      <c r="B123" s="165"/>
      <c r="C123" s="252" t="s">
        <v>1212</v>
      </c>
      <c r="D123" s="253" t="s">
        <v>4</v>
      </c>
      <c r="E123" s="254" t="s">
        <v>412</v>
      </c>
      <c r="F123" s="254" t="s">
        <v>413</v>
      </c>
      <c r="G123" s="252"/>
      <c r="H123" s="252"/>
      <c r="I123" s="255"/>
      <c r="J123" s="256">
        <f>+SUBTOTAL(9,J124)</f>
        <v>407942.8</v>
      </c>
      <c r="K123" s="257"/>
      <c r="L123" s="258"/>
      <c r="M123" s="259">
        <f>M124</f>
        <v>2535.5472</v>
      </c>
      <c r="N123" s="260"/>
      <c r="O123" s="261"/>
      <c r="P123" s="259">
        <f>P124</f>
        <v>410478.3174</v>
      </c>
      <c r="Q123" s="187"/>
      <c r="R123" s="187"/>
      <c r="S123" s="187"/>
      <c r="T123" s="187"/>
      <c r="U123" s="187"/>
      <c r="V123" s="187"/>
      <c r="W123" s="187"/>
      <c r="X123" s="187"/>
      <c r="Y123" s="187"/>
      <c r="Z123" s="187"/>
      <c r="AA123" s="187"/>
      <c r="AM123" s="218"/>
      <c r="AN123" s="218"/>
    </row>
    <row r="124" spans="2:49" s="121" customFormat="1" ht="16.5" customHeight="1" x14ac:dyDescent="0.2">
      <c r="B124" s="120"/>
      <c r="C124" s="56" t="s">
        <v>414</v>
      </c>
      <c r="D124" s="56" t="s">
        <v>96</v>
      </c>
      <c r="E124" s="57" t="s">
        <v>415</v>
      </c>
      <c r="F124" s="58" t="s">
        <v>416</v>
      </c>
      <c r="G124" s="59" t="s">
        <v>201</v>
      </c>
      <c r="H124" s="60">
        <v>3565.31</v>
      </c>
      <c r="I124" s="61">
        <v>114.42</v>
      </c>
      <c r="J124" s="60">
        <v>407942.8</v>
      </c>
      <c r="K124" s="237">
        <f t="shared" si="18"/>
        <v>22.16</v>
      </c>
      <c r="L124" s="238">
        <f t="shared" si="12"/>
        <v>114.42</v>
      </c>
      <c r="M124" s="239">
        <f t="shared" si="13"/>
        <v>2535.5472</v>
      </c>
      <c r="N124" s="243">
        <f t="shared" si="14"/>
        <v>3587.47</v>
      </c>
      <c r="O124" s="240">
        <f t="shared" si="15"/>
        <v>114.42</v>
      </c>
      <c r="P124" s="241">
        <f t="shared" si="16"/>
        <v>410478.3174</v>
      </c>
      <c r="Q124" s="185"/>
      <c r="R124" s="185"/>
      <c r="S124" s="185"/>
      <c r="T124" s="185"/>
      <c r="U124" s="185"/>
      <c r="V124" s="185"/>
      <c r="W124" s="185"/>
      <c r="X124" s="185"/>
      <c r="Y124" s="185"/>
      <c r="Z124" s="185"/>
      <c r="AA124" s="185"/>
      <c r="AM124" s="190" t="s">
        <v>919</v>
      </c>
      <c r="AN124" s="191" t="s">
        <v>925</v>
      </c>
      <c r="AW124" s="237">
        <f t="shared" si="19"/>
        <v>3759.29</v>
      </c>
    </row>
    <row r="125" spans="2:49" s="121" customFormat="1" ht="6.95" customHeight="1" x14ac:dyDescent="0.2">
      <c r="B125" s="120"/>
      <c r="C125" s="120"/>
      <c r="D125" s="120"/>
      <c r="E125" s="120"/>
      <c r="F125" s="120"/>
      <c r="G125" s="120"/>
      <c r="H125" s="120"/>
      <c r="I125" s="153"/>
      <c r="J125" s="120"/>
      <c r="S125" s="185"/>
      <c r="AM125" s="191"/>
      <c r="AN125" s="191"/>
    </row>
    <row r="126" spans="2:49" ht="18" customHeight="1" x14ac:dyDescent="0.2">
      <c r="D126" s="42"/>
      <c r="E126" s="43" t="s">
        <v>876</v>
      </c>
      <c r="F126" s="44"/>
      <c r="G126" s="44"/>
      <c r="H126" s="45"/>
      <c r="I126" s="44"/>
      <c r="J126" s="46">
        <f>J12</f>
        <v>15042099.699999997</v>
      </c>
      <c r="K126" s="47"/>
      <c r="L126" s="46"/>
      <c r="M126" s="46">
        <f>M123+M118+M113+M80+M69+M59+M56+M54+M14</f>
        <v>67228.24631599999</v>
      </c>
      <c r="N126" s="46"/>
      <c r="O126" s="46"/>
      <c r="P126" s="46">
        <f t="shared" ref="P126" si="20">P123+P118+P113+P80+P69+P59+P56+P54+P14</f>
        <v>15109327.411415998</v>
      </c>
      <c r="S126" s="199"/>
    </row>
    <row r="127" spans="2:49" ht="12.75" hidden="1" x14ac:dyDescent="0.2">
      <c r="H127" s="50"/>
      <c r="I127" s="8"/>
      <c r="J127" s="9"/>
      <c r="K127" s="10"/>
      <c r="L127" s="10"/>
    </row>
    <row r="128" spans="2:49" ht="14.25" x14ac:dyDescent="0.2">
      <c r="E128" s="6" t="s">
        <v>849</v>
      </c>
      <c r="F128" s="6"/>
      <c r="G128" s="320" t="s">
        <v>1224</v>
      </c>
      <c r="H128" s="50"/>
      <c r="I128" s="8"/>
      <c r="J128" s="6"/>
      <c r="K128" s="6" t="s">
        <v>848</v>
      </c>
    </row>
  </sheetData>
  <sheetProtection formatColumns="0" formatRows="0" autoFilter="0"/>
  <protectedRanges>
    <protectedRange password="CCAA" sqref="O8 K8" name="Oblast1_1_1"/>
    <protectedRange password="CCAA" sqref="D9:H11" name="Oblast1_2"/>
  </protectedRanges>
  <autoFilter ref="C10:P124" xr:uid="{00000000-0001-0000-0100-000000000000}"/>
  <mergeCells count="19">
    <mergeCell ref="AT52:AT53"/>
    <mergeCell ref="AT91:AT93"/>
    <mergeCell ref="AT97:AT99"/>
    <mergeCell ref="AT116:AT117"/>
    <mergeCell ref="AM94:AM96"/>
    <mergeCell ref="K9:L9"/>
    <mergeCell ref="N9:P9"/>
    <mergeCell ref="AU40:AU43"/>
    <mergeCell ref="AN33:AN51"/>
    <mergeCell ref="AH27:AH28"/>
    <mergeCell ref="AI27:AI28"/>
    <mergeCell ref="AD12:AD14"/>
    <mergeCell ref="AD27:AD28"/>
    <mergeCell ref="AD50:AD51"/>
    <mergeCell ref="AE27:AE28"/>
    <mergeCell ref="AM33:AM39"/>
    <mergeCell ref="AM40:AM42"/>
    <mergeCell ref="AT40:AT43"/>
    <mergeCell ref="AJ27:AJ28"/>
  </mergeCells>
  <pageMargins left="0.39370078740157483" right="0.39370078740157483" top="0.39370078740157483" bottom="0.39370078740157483" header="0" footer="0"/>
  <pageSetup paperSize="9" scale="63" fitToHeight="0" orientation="landscape" r:id="rId1"/>
  <headerFooter>
    <oddFooter>&amp;CStrana &amp;P z &amp;N</oddFooter>
  </headerFooter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1:W88"/>
  <sheetViews>
    <sheetView showGridLines="0" view="pageBreakPreview" topLeftCell="A65" zoomScale="60" zoomScaleNormal="85" workbookViewId="0">
      <selection activeCell="M81" sqref="M81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29" width="18.5" style="8" customWidth="1"/>
    <col min="30" max="16384" width="9.33203125" style="8"/>
  </cols>
  <sheetData>
    <row r="1" spans="2:23" ht="18.95" customHeight="1" x14ac:dyDescent="0.2">
      <c r="F1" s="11"/>
      <c r="G1" s="89"/>
      <c r="H1" s="88"/>
      <c r="I1" s="8"/>
      <c r="J1" s="9"/>
    </row>
    <row r="2" spans="2:23" s="88" customFormat="1" ht="18" customHeight="1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</row>
    <row r="3" spans="2:23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23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23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23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23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23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B6 - Stoka B6</v>
      </c>
      <c r="M8" s="150"/>
      <c r="O8" s="151"/>
    </row>
    <row r="9" spans="2:23" s="15" customFormat="1" ht="20.100000000000001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  <c r="Q9" s="87"/>
    </row>
    <row r="10" spans="2:23" s="15" customFormat="1" ht="24" customHeight="1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41"/>
      <c r="R10" s="189" t="s">
        <v>976</v>
      </c>
      <c r="W10" s="189" t="s">
        <v>990</v>
      </c>
    </row>
    <row r="11" spans="2:23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23" s="121" customFormat="1" ht="22.9" customHeight="1" x14ac:dyDescent="0.25">
      <c r="B12" s="120"/>
      <c r="C12" s="152" t="s">
        <v>486</v>
      </c>
      <c r="D12" s="120"/>
      <c r="E12" s="120"/>
      <c r="F12" s="120"/>
      <c r="G12" s="120"/>
      <c r="H12" s="120"/>
      <c r="I12" s="153"/>
      <c r="J12" s="154">
        <f>+SUBTOTAL(9,J13:J84)</f>
        <v>1178311.6000000003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23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+SUBTOTAL(9,J14:J84)</f>
        <v>1178311.6000000003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23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+SUBTOTAL(9,J15:J37)</f>
        <v>557825.30000000005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SUM(M15:M37)</f>
        <v>20287.797200000001</v>
      </c>
      <c r="N14" s="278" t="str">
        <f>IF(ISBLANK(H14),"",H14-K14)</f>
        <v/>
      </c>
      <c r="O14" s="272" t="str">
        <f>IF(ISBLANK(H14),"",J14-L14)</f>
        <v/>
      </c>
      <c r="P14" s="272">
        <f>SUM(P15:P37)</f>
        <v>578112.89500000002</v>
      </c>
      <c r="Q14" s="218" t="s">
        <v>1216</v>
      </c>
    </row>
    <row r="15" spans="2:23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76.209999999999994</v>
      </c>
      <c r="I15" s="61">
        <v>40.770000000000003</v>
      </c>
      <c r="J15" s="60">
        <v>3107.1</v>
      </c>
      <c r="K15" s="68">
        <f>ROUND(120/116*Q15-Q15,2)</f>
        <v>2.77</v>
      </c>
      <c r="L15" s="69">
        <f>I15</f>
        <v>40.770000000000003</v>
      </c>
      <c r="M15" s="273">
        <f>K15*L15</f>
        <v>112.9329</v>
      </c>
      <c r="N15" s="71">
        <f>H15+K15</f>
        <v>78.97999999999999</v>
      </c>
      <c r="O15" s="72">
        <f>I15</f>
        <v>40.770000000000003</v>
      </c>
      <c r="P15" s="274">
        <f>N15*O15</f>
        <v>3220.0146</v>
      </c>
      <c r="Q15" s="291">
        <f>ROUND(116/109.98*H15,2)</f>
        <v>80.38</v>
      </c>
      <c r="U15" s="121">
        <f t="shared" ref="U15:U37" si="0">H15*0.05</f>
        <v>3.8104999999999998</v>
      </c>
      <c r="V15" s="194">
        <f>N15-U15</f>
        <v>75.169499999999985</v>
      </c>
    </row>
    <row r="16" spans="2:23" s="121" customFormat="1" ht="16.5" customHeight="1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145.49</v>
      </c>
      <c r="I16" s="61">
        <v>55.24</v>
      </c>
      <c r="J16" s="60">
        <v>8036.9</v>
      </c>
      <c r="K16" s="68">
        <f t="shared" ref="K16:K40" si="1">ROUND(120/116*Q16-Q16,2)</f>
        <v>5.29</v>
      </c>
      <c r="L16" s="69">
        <f t="shared" ref="L16:L78" si="2">I16</f>
        <v>55.24</v>
      </c>
      <c r="M16" s="273">
        <f t="shared" ref="M16:M78" si="3">K16*L16</f>
        <v>292.21960000000001</v>
      </c>
      <c r="N16" s="71">
        <f t="shared" ref="N16:N78" si="4">H16+K16</f>
        <v>150.78</v>
      </c>
      <c r="O16" s="72">
        <f t="shared" ref="O16:O78" si="5">I16</f>
        <v>55.24</v>
      </c>
      <c r="P16" s="274">
        <f t="shared" ref="P16:P78" si="6">N16*O16</f>
        <v>8329.0871999999999</v>
      </c>
      <c r="Q16" s="291">
        <f t="shared" ref="Q16:Q79" si="7">ROUND(116/109.98*H16,2)</f>
        <v>153.44999999999999</v>
      </c>
      <c r="U16" s="121">
        <f t="shared" si="0"/>
        <v>7.2745000000000006</v>
      </c>
      <c r="V16" s="194">
        <f t="shared" ref="V16:V37" si="8">N16-U16</f>
        <v>143.50550000000001</v>
      </c>
    </row>
    <row r="17" spans="2:22" s="121" customFormat="1" ht="16.5" customHeight="1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76.209999999999994</v>
      </c>
      <c r="I17" s="61">
        <v>151.25</v>
      </c>
      <c r="J17" s="60">
        <v>11526.8</v>
      </c>
      <c r="K17" s="68">
        <f t="shared" si="1"/>
        <v>2.77</v>
      </c>
      <c r="L17" s="69">
        <f t="shared" si="2"/>
        <v>151.25</v>
      </c>
      <c r="M17" s="273">
        <f t="shared" si="3"/>
        <v>418.96249999999998</v>
      </c>
      <c r="N17" s="71">
        <f t="shared" si="4"/>
        <v>78.97999999999999</v>
      </c>
      <c r="O17" s="72">
        <f t="shared" si="5"/>
        <v>151.25</v>
      </c>
      <c r="P17" s="274">
        <f t="shared" si="6"/>
        <v>11945.724999999999</v>
      </c>
      <c r="Q17" s="291">
        <f t="shared" si="7"/>
        <v>80.38</v>
      </c>
      <c r="U17" s="121">
        <f t="shared" si="0"/>
        <v>3.8104999999999998</v>
      </c>
      <c r="V17" s="194">
        <f t="shared" si="8"/>
        <v>75.169499999999985</v>
      </c>
    </row>
    <row r="18" spans="2:22" s="121" customFormat="1" ht="16.5" customHeight="1" x14ac:dyDescent="0.2">
      <c r="B18" s="120"/>
      <c r="C18" s="56" t="s">
        <v>105</v>
      </c>
      <c r="D18" s="56" t="s">
        <v>96</v>
      </c>
      <c r="E18" s="57" t="s">
        <v>142</v>
      </c>
      <c r="F18" s="58" t="s">
        <v>143</v>
      </c>
      <c r="G18" s="59" t="s">
        <v>133</v>
      </c>
      <c r="H18" s="60">
        <v>1.1000000000000001</v>
      </c>
      <c r="I18" s="61">
        <v>170.98</v>
      </c>
      <c r="J18" s="60">
        <v>188.1</v>
      </c>
      <c r="K18" s="68">
        <f t="shared" si="1"/>
        <v>0.04</v>
      </c>
      <c r="L18" s="69">
        <f t="shared" si="2"/>
        <v>170.98</v>
      </c>
      <c r="M18" s="273">
        <f t="shared" si="3"/>
        <v>6.8391999999999999</v>
      </c>
      <c r="N18" s="71">
        <f t="shared" si="4"/>
        <v>1.1400000000000001</v>
      </c>
      <c r="O18" s="72">
        <f t="shared" si="5"/>
        <v>170.98</v>
      </c>
      <c r="P18" s="274">
        <f t="shared" si="6"/>
        <v>194.91720000000001</v>
      </c>
      <c r="Q18" s="291">
        <f t="shared" si="7"/>
        <v>1.1599999999999999</v>
      </c>
      <c r="U18" s="121">
        <f t="shared" si="0"/>
        <v>5.5000000000000007E-2</v>
      </c>
      <c r="V18" s="194">
        <f t="shared" si="8"/>
        <v>1.0850000000000002</v>
      </c>
    </row>
    <row r="19" spans="2:22" s="121" customFormat="1" ht="16.5" customHeight="1" x14ac:dyDescent="0.2">
      <c r="B19" s="120"/>
      <c r="C19" s="56" t="s">
        <v>109</v>
      </c>
      <c r="D19" s="56" t="s">
        <v>96</v>
      </c>
      <c r="E19" s="57" t="s">
        <v>145</v>
      </c>
      <c r="F19" s="58" t="s">
        <v>146</v>
      </c>
      <c r="G19" s="59" t="s">
        <v>133</v>
      </c>
      <c r="H19" s="60">
        <v>3.3</v>
      </c>
      <c r="I19" s="61">
        <v>147.30000000000001</v>
      </c>
      <c r="J19" s="60">
        <v>486.1</v>
      </c>
      <c r="K19" s="68">
        <f t="shared" si="1"/>
        <v>0.12</v>
      </c>
      <c r="L19" s="69">
        <f t="shared" si="2"/>
        <v>147.30000000000001</v>
      </c>
      <c r="M19" s="273">
        <f t="shared" si="3"/>
        <v>17.676000000000002</v>
      </c>
      <c r="N19" s="71">
        <f t="shared" si="4"/>
        <v>3.42</v>
      </c>
      <c r="O19" s="72">
        <f t="shared" si="5"/>
        <v>147.30000000000001</v>
      </c>
      <c r="P19" s="274">
        <f t="shared" si="6"/>
        <v>503.76600000000002</v>
      </c>
      <c r="Q19" s="291">
        <f t="shared" si="7"/>
        <v>3.48</v>
      </c>
      <c r="U19" s="121">
        <f t="shared" si="0"/>
        <v>0.16500000000000001</v>
      </c>
      <c r="V19" s="194">
        <f t="shared" si="8"/>
        <v>3.2549999999999999</v>
      </c>
    </row>
    <row r="20" spans="2:22" s="121" customFormat="1" ht="16.5" customHeight="1" x14ac:dyDescent="0.2">
      <c r="B20" s="120"/>
      <c r="C20" s="56" t="s">
        <v>112</v>
      </c>
      <c r="D20" s="56" t="s">
        <v>96</v>
      </c>
      <c r="E20" s="57" t="s">
        <v>148</v>
      </c>
      <c r="F20" s="58" t="s">
        <v>149</v>
      </c>
      <c r="G20" s="59" t="s">
        <v>150</v>
      </c>
      <c r="H20" s="60">
        <v>20.56</v>
      </c>
      <c r="I20" s="61">
        <v>38.14</v>
      </c>
      <c r="J20" s="60">
        <v>784.2</v>
      </c>
      <c r="K20" s="68">
        <f t="shared" si="1"/>
        <v>0.75</v>
      </c>
      <c r="L20" s="69">
        <f t="shared" si="2"/>
        <v>38.14</v>
      </c>
      <c r="M20" s="273">
        <f t="shared" si="3"/>
        <v>28.605</v>
      </c>
      <c r="N20" s="71">
        <f t="shared" si="4"/>
        <v>21.31</v>
      </c>
      <c r="O20" s="72">
        <f t="shared" si="5"/>
        <v>38.14</v>
      </c>
      <c r="P20" s="274">
        <f t="shared" si="6"/>
        <v>812.76339999999993</v>
      </c>
      <c r="Q20" s="291">
        <f t="shared" si="7"/>
        <v>21.69</v>
      </c>
      <c r="U20" s="121">
        <f t="shared" si="0"/>
        <v>1.028</v>
      </c>
      <c r="V20" s="194">
        <f t="shared" si="8"/>
        <v>20.282</v>
      </c>
    </row>
    <row r="21" spans="2:22" s="121" customFormat="1" ht="16.5" customHeight="1" x14ac:dyDescent="0.2">
      <c r="B21" s="120"/>
      <c r="C21" s="56" t="s">
        <v>115</v>
      </c>
      <c r="D21" s="56" t="s">
        <v>96</v>
      </c>
      <c r="E21" s="57" t="s">
        <v>155</v>
      </c>
      <c r="F21" s="58" t="s">
        <v>156</v>
      </c>
      <c r="G21" s="59" t="s">
        <v>150</v>
      </c>
      <c r="H21" s="60">
        <v>7.53</v>
      </c>
      <c r="I21" s="61">
        <v>257.77999999999997</v>
      </c>
      <c r="J21" s="60">
        <v>1941.1</v>
      </c>
      <c r="K21" s="68">
        <f t="shared" si="1"/>
        <v>0.27</v>
      </c>
      <c r="L21" s="69">
        <f t="shared" si="2"/>
        <v>257.77999999999997</v>
      </c>
      <c r="M21" s="273">
        <f t="shared" si="3"/>
        <v>69.6006</v>
      </c>
      <c r="N21" s="71">
        <f t="shared" si="4"/>
        <v>7.8000000000000007</v>
      </c>
      <c r="O21" s="72">
        <f t="shared" si="5"/>
        <v>257.77999999999997</v>
      </c>
      <c r="P21" s="274">
        <f t="shared" si="6"/>
        <v>2010.684</v>
      </c>
      <c r="Q21" s="291">
        <f t="shared" si="7"/>
        <v>7.94</v>
      </c>
      <c r="U21" s="121">
        <f t="shared" si="0"/>
        <v>0.37650000000000006</v>
      </c>
      <c r="V21" s="194">
        <f t="shared" si="8"/>
        <v>7.4235000000000007</v>
      </c>
    </row>
    <row r="22" spans="2:22" s="121" customFormat="1" ht="16.5" customHeight="1" x14ac:dyDescent="0.2">
      <c r="B22" s="120"/>
      <c r="C22" s="56" t="s">
        <v>118</v>
      </c>
      <c r="D22" s="56" t="s">
        <v>96</v>
      </c>
      <c r="E22" s="57" t="s">
        <v>157</v>
      </c>
      <c r="F22" s="58" t="s">
        <v>158</v>
      </c>
      <c r="G22" s="59" t="s">
        <v>150</v>
      </c>
      <c r="H22" s="60">
        <v>92.33</v>
      </c>
      <c r="I22" s="61">
        <v>257.77999999999997</v>
      </c>
      <c r="J22" s="60">
        <v>23800.799999999999</v>
      </c>
      <c r="K22" s="68">
        <f t="shared" si="1"/>
        <v>3.36</v>
      </c>
      <c r="L22" s="69">
        <f t="shared" si="2"/>
        <v>257.77999999999997</v>
      </c>
      <c r="M22" s="273">
        <f t="shared" si="3"/>
        <v>866.1407999999999</v>
      </c>
      <c r="N22" s="71">
        <f t="shared" si="4"/>
        <v>95.69</v>
      </c>
      <c r="O22" s="72">
        <f t="shared" si="5"/>
        <v>257.77999999999997</v>
      </c>
      <c r="P22" s="274">
        <f t="shared" si="6"/>
        <v>24666.968199999996</v>
      </c>
      <c r="Q22" s="291">
        <f t="shared" si="7"/>
        <v>97.38</v>
      </c>
      <c r="U22" s="121">
        <f t="shared" si="0"/>
        <v>4.6165000000000003</v>
      </c>
      <c r="V22" s="194">
        <f t="shared" si="8"/>
        <v>91.073499999999996</v>
      </c>
    </row>
    <row r="23" spans="2:22" s="121" customFormat="1" ht="16.5" customHeight="1" x14ac:dyDescent="0.2">
      <c r="B23" s="120"/>
      <c r="C23" s="56" t="s">
        <v>121</v>
      </c>
      <c r="D23" s="56" t="s">
        <v>96</v>
      </c>
      <c r="E23" s="57" t="s">
        <v>160</v>
      </c>
      <c r="F23" s="58" t="s">
        <v>161</v>
      </c>
      <c r="G23" s="59" t="s">
        <v>150</v>
      </c>
      <c r="H23" s="60">
        <v>27.7</v>
      </c>
      <c r="I23" s="61">
        <v>13.15</v>
      </c>
      <c r="J23" s="60">
        <v>364.3</v>
      </c>
      <c r="K23" s="68">
        <f t="shared" si="1"/>
        <v>1.01</v>
      </c>
      <c r="L23" s="69">
        <f t="shared" si="2"/>
        <v>13.15</v>
      </c>
      <c r="M23" s="273">
        <f t="shared" si="3"/>
        <v>13.281500000000001</v>
      </c>
      <c r="N23" s="71">
        <f t="shared" si="4"/>
        <v>28.71</v>
      </c>
      <c r="O23" s="72">
        <f t="shared" si="5"/>
        <v>13.15</v>
      </c>
      <c r="P23" s="274">
        <f t="shared" si="6"/>
        <v>377.53650000000005</v>
      </c>
      <c r="Q23" s="291">
        <f t="shared" si="7"/>
        <v>29.22</v>
      </c>
      <c r="U23" s="121">
        <f t="shared" si="0"/>
        <v>1.385</v>
      </c>
      <c r="V23" s="194">
        <f t="shared" si="8"/>
        <v>27.324999999999999</v>
      </c>
    </row>
    <row r="24" spans="2:22" s="121" customFormat="1" ht="16.5" customHeight="1" x14ac:dyDescent="0.2">
      <c r="B24" s="120"/>
      <c r="C24" s="56" t="s">
        <v>124</v>
      </c>
      <c r="D24" s="56" t="s">
        <v>96</v>
      </c>
      <c r="E24" s="57" t="s">
        <v>163</v>
      </c>
      <c r="F24" s="58" t="s">
        <v>164</v>
      </c>
      <c r="G24" s="59" t="s">
        <v>150</v>
      </c>
      <c r="H24" s="60">
        <v>27.73</v>
      </c>
      <c r="I24" s="61">
        <v>315.64999999999998</v>
      </c>
      <c r="J24" s="60">
        <v>8753</v>
      </c>
      <c r="K24" s="68">
        <f t="shared" si="1"/>
        <v>1.01</v>
      </c>
      <c r="L24" s="69">
        <f t="shared" si="2"/>
        <v>315.64999999999998</v>
      </c>
      <c r="M24" s="273">
        <f t="shared" si="3"/>
        <v>318.80649999999997</v>
      </c>
      <c r="N24" s="71">
        <f t="shared" si="4"/>
        <v>28.740000000000002</v>
      </c>
      <c r="O24" s="72">
        <f t="shared" si="5"/>
        <v>315.64999999999998</v>
      </c>
      <c r="P24" s="274">
        <f t="shared" si="6"/>
        <v>9071.7810000000009</v>
      </c>
      <c r="Q24" s="291">
        <f t="shared" si="7"/>
        <v>29.25</v>
      </c>
      <c r="U24" s="121">
        <f t="shared" si="0"/>
        <v>1.3865000000000001</v>
      </c>
      <c r="V24" s="194">
        <f t="shared" si="8"/>
        <v>27.3535</v>
      </c>
    </row>
    <row r="25" spans="2:22" s="121" customFormat="1" ht="16.5" customHeight="1" x14ac:dyDescent="0.2">
      <c r="B25" s="120"/>
      <c r="C25" s="56" t="s">
        <v>127</v>
      </c>
      <c r="D25" s="56" t="s">
        <v>96</v>
      </c>
      <c r="E25" s="57" t="s">
        <v>166</v>
      </c>
      <c r="F25" s="58" t="s">
        <v>167</v>
      </c>
      <c r="G25" s="59" t="s">
        <v>150</v>
      </c>
      <c r="H25" s="60">
        <v>8.32</v>
      </c>
      <c r="I25" s="61">
        <v>15.78</v>
      </c>
      <c r="J25" s="60">
        <v>131.30000000000001</v>
      </c>
      <c r="K25" s="68">
        <f t="shared" si="1"/>
        <v>0.3</v>
      </c>
      <c r="L25" s="69">
        <f t="shared" si="2"/>
        <v>15.78</v>
      </c>
      <c r="M25" s="273">
        <f t="shared" si="3"/>
        <v>4.734</v>
      </c>
      <c r="N25" s="71">
        <f t="shared" si="4"/>
        <v>8.620000000000001</v>
      </c>
      <c r="O25" s="72">
        <f t="shared" si="5"/>
        <v>15.78</v>
      </c>
      <c r="P25" s="274">
        <f t="shared" si="6"/>
        <v>136.02360000000002</v>
      </c>
      <c r="Q25" s="291">
        <f t="shared" si="7"/>
        <v>8.7799999999999994</v>
      </c>
      <c r="U25" s="121">
        <f t="shared" si="0"/>
        <v>0.41600000000000004</v>
      </c>
      <c r="V25" s="194">
        <f t="shared" si="8"/>
        <v>8.2040000000000006</v>
      </c>
    </row>
    <row r="26" spans="2:22" s="121" customFormat="1" ht="25.9" customHeight="1" x14ac:dyDescent="0.2">
      <c r="B26" s="120"/>
      <c r="C26" s="56" t="s">
        <v>130</v>
      </c>
      <c r="D26" s="56" t="s">
        <v>96</v>
      </c>
      <c r="E26" s="57" t="s">
        <v>172</v>
      </c>
      <c r="F26" s="58" t="s">
        <v>173</v>
      </c>
      <c r="G26" s="59" t="s">
        <v>150</v>
      </c>
      <c r="H26" s="60">
        <v>165.8</v>
      </c>
      <c r="I26" s="61">
        <v>1116.6199999999999</v>
      </c>
      <c r="J26" s="60">
        <v>185135.6</v>
      </c>
      <c r="K26" s="68">
        <f t="shared" si="1"/>
        <v>6.03</v>
      </c>
      <c r="L26" s="69">
        <f t="shared" si="2"/>
        <v>1116.6199999999999</v>
      </c>
      <c r="M26" s="273">
        <f t="shared" si="3"/>
        <v>6733.2185999999992</v>
      </c>
      <c r="N26" s="71">
        <f t="shared" si="4"/>
        <v>171.83</v>
      </c>
      <c r="O26" s="72">
        <f t="shared" si="5"/>
        <v>1116.6199999999999</v>
      </c>
      <c r="P26" s="274">
        <f t="shared" si="6"/>
        <v>191868.81459999998</v>
      </c>
      <c r="Q26" s="291">
        <f t="shared" si="7"/>
        <v>174.88</v>
      </c>
      <c r="R26" s="186" t="s">
        <v>982</v>
      </c>
      <c r="S26" s="121" t="s">
        <v>988</v>
      </c>
      <c r="U26" s="121">
        <f t="shared" si="0"/>
        <v>8.2900000000000009</v>
      </c>
      <c r="V26" s="194">
        <f t="shared" si="8"/>
        <v>163.54000000000002</v>
      </c>
    </row>
    <row r="27" spans="2:22" s="121" customFormat="1" ht="16.5" customHeight="1" x14ac:dyDescent="0.2">
      <c r="B27" s="120"/>
      <c r="C27" s="56" t="s">
        <v>134</v>
      </c>
      <c r="D27" s="56" t="s">
        <v>96</v>
      </c>
      <c r="E27" s="57" t="s">
        <v>175</v>
      </c>
      <c r="F27" s="58" t="s">
        <v>176</v>
      </c>
      <c r="G27" s="59" t="s">
        <v>108</v>
      </c>
      <c r="H27" s="60">
        <v>558.11</v>
      </c>
      <c r="I27" s="61">
        <v>99.96</v>
      </c>
      <c r="J27" s="60">
        <v>55788.7</v>
      </c>
      <c r="K27" s="68">
        <f t="shared" si="1"/>
        <v>20.3</v>
      </c>
      <c r="L27" s="69">
        <f t="shared" si="2"/>
        <v>99.96</v>
      </c>
      <c r="M27" s="273">
        <f t="shared" si="3"/>
        <v>2029.1879999999999</v>
      </c>
      <c r="N27" s="71">
        <f t="shared" si="4"/>
        <v>578.41</v>
      </c>
      <c r="O27" s="72">
        <f t="shared" si="5"/>
        <v>99.96</v>
      </c>
      <c r="P27" s="274">
        <f t="shared" si="6"/>
        <v>57817.86359999999</v>
      </c>
      <c r="Q27" s="291">
        <f t="shared" si="7"/>
        <v>588.66</v>
      </c>
      <c r="U27" s="121">
        <f t="shared" si="0"/>
        <v>27.905500000000004</v>
      </c>
      <c r="V27" s="194">
        <f t="shared" si="8"/>
        <v>550.50450000000001</v>
      </c>
    </row>
    <row r="28" spans="2:22" s="121" customFormat="1" ht="16.5" customHeight="1" x14ac:dyDescent="0.2">
      <c r="B28" s="120"/>
      <c r="C28" s="56" t="s">
        <v>2</v>
      </c>
      <c r="D28" s="56" t="s">
        <v>96</v>
      </c>
      <c r="E28" s="57" t="s">
        <v>181</v>
      </c>
      <c r="F28" s="58" t="s">
        <v>182</v>
      </c>
      <c r="G28" s="59" t="s">
        <v>108</v>
      </c>
      <c r="H28" s="60">
        <v>558.11</v>
      </c>
      <c r="I28" s="61">
        <v>149.94</v>
      </c>
      <c r="J28" s="60">
        <v>83683</v>
      </c>
      <c r="K28" s="68">
        <f t="shared" si="1"/>
        <v>20.3</v>
      </c>
      <c r="L28" s="69">
        <f t="shared" si="2"/>
        <v>149.94</v>
      </c>
      <c r="M28" s="273">
        <f t="shared" si="3"/>
        <v>3043.7820000000002</v>
      </c>
      <c r="N28" s="71">
        <f t="shared" si="4"/>
        <v>578.41</v>
      </c>
      <c r="O28" s="72">
        <f t="shared" si="5"/>
        <v>149.94</v>
      </c>
      <c r="P28" s="274">
        <f t="shared" si="6"/>
        <v>86726.795399999988</v>
      </c>
      <c r="Q28" s="291">
        <f t="shared" si="7"/>
        <v>588.66</v>
      </c>
      <c r="U28" s="121">
        <f t="shared" si="0"/>
        <v>27.905500000000004</v>
      </c>
      <c r="V28" s="194">
        <f t="shared" si="8"/>
        <v>550.50450000000001</v>
      </c>
    </row>
    <row r="29" spans="2:22" s="121" customFormat="1" ht="16.5" customHeight="1" x14ac:dyDescent="0.2">
      <c r="B29" s="120"/>
      <c r="C29" s="56" t="s">
        <v>141</v>
      </c>
      <c r="D29" s="56" t="s">
        <v>96</v>
      </c>
      <c r="E29" s="57" t="s">
        <v>187</v>
      </c>
      <c r="F29" s="58" t="s">
        <v>188</v>
      </c>
      <c r="G29" s="59" t="s">
        <v>150</v>
      </c>
      <c r="H29" s="60">
        <v>468.15</v>
      </c>
      <c r="I29" s="61">
        <v>97.64</v>
      </c>
      <c r="J29" s="60">
        <v>45710.2</v>
      </c>
      <c r="K29" s="68">
        <f t="shared" si="1"/>
        <v>17.03</v>
      </c>
      <c r="L29" s="69">
        <f t="shared" si="2"/>
        <v>97.64</v>
      </c>
      <c r="M29" s="273">
        <f t="shared" si="3"/>
        <v>1662.8092000000001</v>
      </c>
      <c r="N29" s="71">
        <f t="shared" si="4"/>
        <v>485.17999999999995</v>
      </c>
      <c r="O29" s="72">
        <f t="shared" si="5"/>
        <v>97.64</v>
      </c>
      <c r="P29" s="274">
        <f t="shared" si="6"/>
        <v>47372.975199999993</v>
      </c>
      <c r="Q29" s="291">
        <f t="shared" si="7"/>
        <v>493.78</v>
      </c>
      <c r="U29" s="121">
        <f t="shared" si="0"/>
        <v>23.407499999999999</v>
      </c>
      <c r="V29" s="194">
        <f t="shared" si="8"/>
        <v>461.77249999999992</v>
      </c>
    </row>
    <row r="30" spans="2:22" s="121" customFormat="1" ht="16.5" customHeight="1" x14ac:dyDescent="0.2">
      <c r="B30" s="120"/>
      <c r="C30" s="56" t="s">
        <v>144</v>
      </c>
      <c r="D30" s="56" t="s">
        <v>96</v>
      </c>
      <c r="E30" s="57" t="s">
        <v>190</v>
      </c>
      <c r="F30" s="58" t="s">
        <v>191</v>
      </c>
      <c r="G30" s="59" t="s">
        <v>150</v>
      </c>
      <c r="H30" s="60">
        <v>103.11</v>
      </c>
      <c r="I30" s="61">
        <v>247.39</v>
      </c>
      <c r="J30" s="60">
        <v>25508.400000000001</v>
      </c>
      <c r="K30" s="68">
        <f t="shared" si="1"/>
        <v>3.75</v>
      </c>
      <c r="L30" s="69">
        <f t="shared" si="2"/>
        <v>247.39</v>
      </c>
      <c r="M30" s="273">
        <f t="shared" si="3"/>
        <v>927.71249999999998</v>
      </c>
      <c r="N30" s="71">
        <f t="shared" si="4"/>
        <v>106.86</v>
      </c>
      <c r="O30" s="72">
        <f t="shared" si="5"/>
        <v>247.39</v>
      </c>
      <c r="P30" s="274">
        <f t="shared" si="6"/>
        <v>26436.095399999998</v>
      </c>
      <c r="Q30" s="291">
        <f t="shared" si="7"/>
        <v>108.75</v>
      </c>
      <c r="R30" s="186" t="s">
        <v>983</v>
      </c>
      <c r="U30" s="121">
        <f t="shared" si="0"/>
        <v>5.1555</v>
      </c>
      <c r="V30" s="194">
        <f t="shared" si="8"/>
        <v>101.7045</v>
      </c>
    </row>
    <row r="31" spans="2:22" s="121" customFormat="1" ht="16.5" customHeight="1" x14ac:dyDescent="0.2">
      <c r="B31" s="120"/>
      <c r="C31" s="56" t="s">
        <v>147</v>
      </c>
      <c r="D31" s="56" t="s">
        <v>96</v>
      </c>
      <c r="E31" s="57" t="s">
        <v>193</v>
      </c>
      <c r="F31" s="58" t="s">
        <v>194</v>
      </c>
      <c r="G31" s="59" t="s">
        <v>150</v>
      </c>
      <c r="H31" s="60">
        <v>103.11</v>
      </c>
      <c r="I31" s="61">
        <v>44.72</v>
      </c>
      <c r="J31" s="60">
        <v>4611.1000000000004</v>
      </c>
      <c r="K31" s="68">
        <f t="shared" si="1"/>
        <v>3.75</v>
      </c>
      <c r="L31" s="69">
        <f t="shared" si="2"/>
        <v>44.72</v>
      </c>
      <c r="M31" s="273">
        <f t="shared" si="3"/>
        <v>167.7</v>
      </c>
      <c r="N31" s="71">
        <f t="shared" si="4"/>
        <v>106.86</v>
      </c>
      <c r="O31" s="72">
        <f t="shared" si="5"/>
        <v>44.72</v>
      </c>
      <c r="P31" s="274">
        <f t="shared" si="6"/>
        <v>4778.7791999999999</v>
      </c>
      <c r="Q31" s="291">
        <f t="shared" si="7"/>
        <v>108.75</v>
      </c>
      <c r="R31" s="186" t="s">
        <v>983</v>
      </c>
      <c r="U31" s="121">
        <f t="shared" si="0"/>
        <v>5.1555</v>
      </c>
      <c r="V31" s="194">
        <f t="shared" si="8"/>
        <v>101.7045</v>
      </c>
    </row>
    <row r="32" spans="2:22" s="121" customFormat="1" ht="16.5" customHeight="1" x14ac:dyDescent="0.2">
      <c r="B32" s="120"/>
      <c r="C32" s="56" t="s">
        <v>151</v>
      </c>
      <c r="D32" s="56" t="s">
        <v>96</v>
      </c>
      <c r="E32" s="57" t="s">
        <v>196</v>
      </c>
      <c r="F32" s="58" t="s">
        <v>197</v>
      </c>
      <c r="G32" s="59" t="s">
        <v>150</v>
      </c>
      <c r="H32" s="60">
        <v>103.11</v>
      </c>
      <c r="I32" s="61">
        <v>11.84</v>
      </c>
      <c r="J32" s="60">
        <v>1220.8</v>
      </c>
      <c r="K32" s="68">
        <f t="shared" si="1"/>
        <v>3.75</v>
      </c>
      <c r="L32" s="69">
        <f t="shared" si="2"/>
        <v>11.84</v>
      </c>
      <c r="M32" s="273">
        <f t="shared" si="3"/>
        <v>44.4</v>
      </c>
      <c r="N32" s="71">
        <f t="shared" si="4"/>
        <v>106.86</v>
      </c>
      <c r="O32" s="72">
        <f t="shared" si="5"/>
        <v>11.84</v>
      </c>
      <c r="P32" s="274">
        <f t="shared" si="6"/>
        <v>1265.2223999999999</v>
      </c>
      <c r="Q32" s="291">
        <f t="shared" si="7"/>
        <v>108.75</v>
      </c>
      <c r="R32" s="186" t="s">
        <v>983</v>
      </c>
      <c r="U32" s="121">
        <f t="shared" si="0"/>
        <v>5.1555</v>
      </c>
      <c r="V32" s="194">
        <f t="shared" si="8"/>
        <v>101.7045</v>
      </c>
    </row>
    <row r="33" spans="2:23" s="121" customFormat="1" ht="16.5" customHeight="1" x14ac:dyDescent="0.2">
      <c r="B33" s="120"/>
      <c r="C33" s="56" t="s">
        <v>154</v>
      </c>
      <c r="D33" s="56" t="s">
        <v>96</v>
      </c>
      <c r="E33" s="57" t="s">
        <v>199</v>
      </c>
      <c r="F33" s="58" t="s">
        <v>200</v>
      </c>
      <c r="G33" s="59" t="s">
        <v>201</v>
      </c>
      <c r="H33" s="60">
        <v>206.22</v>
      </c>
      <c r="I33" s="61">
        <v>116</v>
      </c>
      <c r="J33" s="60">
        <v>23921.5</v>
      </c>
      <c r="K33" s="68">
        <f t="shared" si="1"/>
        <v>7.5</v>
      </c>
      <c r="L33" s="69">
        <f t="shared" si="2"/>
        <v>116</v>
      </c>
      <c r="M33" s="273">
        <f t="shared" si="3"/>
        <v>870</v>
      </c>
      <c r="N33" s="71">
        <f t="shared" si="4"/>
        <v>213.72</v>
      </c>
      <c r="O33" s="72">
        <f t="shared" si="5"/>
        <v>116</v>
      </c>
      <c r="P33" s="274">
        <f t="shared" si="6"/>
        <v>24791.52</v>
      </c>
      <c r="Q33" s="291">
        <f t="shared" si="7"/>
        <v>217.51</v>
      </c>
      <c r="U33" s="121">
        <f t="shared" si="0"/>
        <v>10.311</v>
      </c>
      <c r="V33" s="194">
        <f t="shared" si="8"/>
        <v>203.40899999999999</v>
      </c>
    </row>
    <row r="34" spans="2:23" s="121" customFormat="1" ht="16.5" customHeight="1" x14ac:dyDescent="0.2">
      <c r="B34" s="120"/>
      <c r="C34" s="56" t="s">
        <v>1</v>
      </c>
      <c r="D34" s="56" t="s">
        <v>96</v>
      </c>
      <c r="E34" s="57" t="s">
        <v>203</v>
      </c>
      <c r="F34" s="58" t="s">
        <v>204</v>
      </c>
      <c r="G34" s="59" t="s">
        <v>150</v>
      </c>
      <c r="H34" s="60">
        <v>182.29</v>
      </c>
      <c r="I34" s="61">
        <v>143.36000000000001</v>
      </c>
      <c r="J34" s="60">
        <v>26133.1</v>
      </c>
      <c r="K34" s="68">
        <f t="shared" si="1"/>
        <v>6.63</v>
      </c>
      <c r="L34" s="69">
        <f t="shared" si="2"/>
        <v>143.36000000000001</v>
      </c>
      <c r="M34" s="273">
        <f t="shared" si="3"/>
        <v>950.47680000000003</v>
      </c>
      <c r="N34" s="71">
        <f t="shared" si="4"/>
        <v>188.92</v>
      </c>
      <c r="O34" s="72">
        <f t="shared" si="5"/>
        <v>143.36000000000001</v>
      </c>
      <c r="P34" s="274">
        <f t="shared" si="6"/>
        <v>27083.571200000002</v>
      </c>
      <c r="Q34" s="291">
        <f t="shared" si="7"/>
        <v>192.27</v>
      </c>
      <c r="U34" s="121">
        <f t="shared" si="0"/>
        <v>9.1144999999999996</v>
      </c>
      <c r="V34" s="194">
        <f t="shared" si="8"/>
        <v>179.80549999999999</v>
      </c>
    </row>
    <row r="35" spans="2:23" s="121" customFormat="1" ht="16.5" customHeight="1" x14ac:dyDescent="0.2">
      <c r="B35" s="120"/>
      <c r="C35" s="56" t="s">
        <v>159</v>
      </c>
      <c r="D35" s="56" t="s">
        <v>96</v>
      </c>
      <c r="E35" s="57" t="s">
        <v>206</v>
      </c>
      <c r="F35" s="58" t="s">
        <v>207</v>
      </c>
      <c r="G35" s="59" t="s">
        <v>150</v>
      </c>
      <c r="H35" s="60">
        <v>66.63</v>
      </c>
      <c r="I35" s="61">
        <v>318.27999999999997</v>
      </c>
      <c r="J35" s="60">
        <v>21207</v>
      </c>
      <c r="K35" s="68">
        <f t="shared" si="1"/>
        <v>2.42</v>
      </c>
      <c r="L35" s="69">
        <f t="shared" si="2"/>
        <v>318.27999999999997</v>
      </c>
      <c r="M35" s="273">
        <f t="shared" si="3"/>
        <v>770.23759999999993</v>
      </c>
      <c r="N35" s="71">
        <f t="shared" si="4"/>
        <v>69.05</v>
      </c>
      <c r="O35" s="72">
        <f t="shared" si="5"/>
        <v>318.27999999999997</v>
      </c>
      <c r="P35" s="274">
        <f t="shared" si="6"/>
        <v>21977.233999999997</v>
      </c>
      <c r="Q35" s="291">
        <f t="shared" si="7"/>
        <v>70.28</v>
      </c>
      <c r="U35" s="121">
        <f t="shared" si="0"/>
        <v>3.3315000000000001</v>
      </c>
      <c r="V35" s="194">
        <f t="shared" si="8"/>
        <v>65.718499999999992</v>
      </c>
    </row>
    <row r="36" spans="2:23" s="121" customFormat="1" ht="16.5" customHeight="1" x14ac:dyDescent="0.2">
      <c r="B36" s="120"/>
      <c r="C36" s="73" t="s">
        <v>162</v>
      </c>
      <c r="D36" s="73" t="s">
        <v>209</v>
      </c>
      <c r="E36" s="74" t="s">
        <v>210</v>
      </c>
      <c r="F36" s="75" t="s">
        <v>211</v>
      </c>
      <c r="G36" s="76" t="s">
        <v>201</v>
      </c>
      <c r="H36" s="77">
        <v>133.26</v>
      </c>
      <c r="I36" s="78">
        <v>172.71</v>
      </c>
      <c r="J36" s="77">
        <v>23015.3</v>
      </c>
      <c r="K36" s="68">
        <f t="shared" si="1"/>
        <v>4.8499999999999996</v>
      </c>
      <c r="L36" s="69">
        <f t="shared" si="2"/>
        <v>172.71</v>
      </c>
      <c r="M36" s="273">
        <f t="shared" si="3"/>
        <v>837.64350000000002</v>
      </c>
      <c r="N36" s="71">
        <f t="shared" si="4"/>
        <v>138.10999999999999</v>
      </c>
      <c r="O36" s="72">
        <f t="shared" si="5"/>
        <v>172.71</v>
      </c>
      <c r="P36" s="274">
        <f t="shared" si="6"/>
        <v>23852.9781</v>
      </c>
      <c r="Q36" s="291">
        <f t="shared" si="7"/>
        <v>140.55000000000001</v>
      </c>
      <c r="U36" s="121">
        <f t="shared" si="0"/>
        <v>6.6630000000000003</v>
      </c>
      <c r="V36" s="194">
        <f t="shared" si="8"/>
        <v>131.44699999999997</v>
      </c>
    </row>
    <row r="37" spans="2:23" s="121" customFormat="1" ht="16.5" customHeight="1" x14ac:dyDescent="0.2">
      <c r="B37" s="120"/>
      <c r="C37" s="56" t="s">
        <v>165</v>
      </c>
      <c r="D37" s="56" t="s">
        <v>96</v>
      </c>
      <c r="E37" s="57" t="s">
        <v>213</v>
      </c>
      <c r="F37" s="58" t="s">
        <v>214</v>
      </c>
      <c r="G37" s="59" t="s">
        <v>108</v>
      </c>
      <c r="H37" s="60">
        <v>51.39</v>
      </c>
      <c r="I37" s="61">
        <v>53.92</v>
      </c>
      <c r="J37" s="60">
        <v>2770.9</v>
      </c>
      <c r="K37" s="68">
        <f t="shared" si="1"/>
        <v>1.87</v>
      </c>
      <c r="L37" s="69">
        <f t="shared" si="2"/>
        <v>53.92</v>
      </c>
      <c r="M37" s="273">
        <f t="shared" si="3"/>
        <v>100.83040000000001</v>
      </c>
      <c r="N37" s="71">
        <f t="shared" si="4"/>
        <v>53.26</v>
      </c>
      <c r="O37" s="72">
        <f t="shared" si="5"/>
        <v>53.92</v>
      </c>
      <c r="P37" s="274">
        <f t="shared" si="6"/>
        <v>2871.7791999999999</v>
      </c>
      <c r="Q37" s="291">
        <f t="shared" si="7"/>
        <v>54.2</v>
      </c>
      <c r="U37" s="121">
        <f t="shared" si="0"/>
        <v>2.5695000000000001</v>
      </c>
      <c r="V37" s="194">
        <f t="shared" si="8"/>
        <v>50.6905</v>
      </c>
    </row>
    <row r="38" spans="2:23" s="170" customFormat="1" ht="22.9" customHeight="1" x14ac:dyDescent="0.2">
      <c r="B38" s="165"/>
      <c r="C38" s="252"/>
      <c r="D38" s="253" t="s">
        <v>4</v>
      </c>
      <c r="E38" s="254" t="s">
        <v>13</v>
      </c>
      <c r="F38" s="254" t="s">
        <v>222</v>
      </c>
      <c r="G38" s="252"/>
      <c r="H38" s="252"/>
      <c r="I38" s="255"/>
      <c r="J38" s="256">
        <f>+SUBTOTAL(9,J39:J40)</f>
        <v>4339.8</v>
      </c>
      <c r="K38" s="261"/>
      <c r="L38" s="262"/>
      <c r="M38" s="279">
        <f>SUM(M39:M40)</f>
        <v>157.84</v>
      </c>
      <c r="N38" s="280"/>
      <c r="O38" s="262"/>
      <c r="P38" s="279">
        <f>SUM(P39:P40)</f>
        <v>4497.6508000000003</v>
      </c>
      <c r="Q38" s="291">
        <f t="shared" si="7"/>
        <v>0</v>
      </c>
    </row>
    <row r="39" spans="2:23" s="121" customFormat="1" ht="16.5" customHeight="1" x14ac:dyDescent="0.2">
      <c r="B39" s="120"/>
      <c r="C39" s="56" t="s">
        <v>168</v>
      </c>
      <c r="D39" s="56" t="s">
        <v>96</v>
      </c>
      <c r="E39" s="57" t="s">
        <v>224</v>
      </c>
      <c r="F39" s="58" t="s">
        <v>225</v>
      </c>
      <c r="G39" s="59" t="s">
        <v>133</v>
      </c>
      <c r="H39" s="60">
        <v>109.98</v>
      </c>
      <c r="I39" s="61">
        <v>32.880000000000003</v>
      </c>
      <c r="J39" s="60">
        <v>3616.1</v>
      </c>
      <c r="K39" s="68">
        <f t="shared" si="1"/>
        <v>4</v>
      </c>
      <c r="L39" s="69">
        <f t="shared" si="2"/>
        <v>32.880000000000003</v>
      </c>
      <c r="M39" s="273">
        <f t="shared" si="3"/>
        <v>131.52000000000001</v>
      </c>
      <c r="N39" s="71">
        <f t="shared" si="4"/>
        <v>113.98</v>
      </c>
      <c r="O39" s="72">
        <f t="shared" si="5"/>
        <v>32.880000000000003</v>
      </c>
      <c r="P39" s="274">
        <f t="shared" si="6"/>
        <v>3747.6624000000006</v>
      </c>
      <c r="Q39" s="291">
        <f t="shared" si="7"/>
        <v>116</v>
      </c>
    </row>
    <row r="40" spans="2:23" s="121" customFormat="1" ht="16.5" customHeight="1" x14ac:dyDescent="0.2">
      <c r="B40" s="120"/>
      <c r="C40" s="56" t="s">
        <v>171</v>
      </c>
      <c r="D40" s="56" t="s">
        <v>96</v>
      </c>
      <c r="E40" s="57" t="s">
        <v>227</v>
      </c>
      <c r="F40" s="58" t="s">
        <v>228</v>
      </c>
      <c r="G40" s="59" t="s">
        <v>133</v>
      </c>
      <c r="H40" s="60">
        <v>109.98</v>
      </c>
      <c r="I40" s="61">
        <v>6.58</v>
      </c>
      <c r="J40" s="60">
        <v>723.7</v>
      </c>
      <c r="K40" s="68">
        <f t="shared" si="1"/>
        <v>4</v>
      </c>
      <c r="L40" s="69">
        <f t="shared" si="2"/>
        <v>6.58</v>
      </c>
      <c r="M40" s="273">
        <f t="shared" si="3"/>
        <v>26.32</v>
      </c>
      <c r="N40" s="71">
        <f t="shared" si="4"/>
        <v>113.98</v>
      </c>
      <c r="O40" s="72">
        <f t="shared" si="5"/>
        <v>6.58</v>
      </c>
      <c r="P40" s="274">
        <f t="shared" si="6"/>
        <v>749.98840000000007</v>
      </c>
      <c r="Q40" s="291">
        <f t="shared" si="7"/>
        <v>116</v>
      </c>
    </row>
    <row r="41" spans="2:23" s="170" customFormat="1" ht="22.9" customHeight="1" x14ac:dyDescent="0.2">
      <c r="B41" s="165"/>
      <c r="C41" s="252"/>
      <c r="D41" s="253" t="s">
        <v>4</v>
      </c>
      <c r="E41" s="254" t="s">
        <v>100</v>
      </c>
      <c r="F41" s="254" t="s">
        <v>229</v>
      </c>
      <c r="G41" s="252"/>
      <c r="H41" s="252"/>
      <c r="I41" s="255"/>
      <c r="J41" s="256">
        <f>+SUBTOTAL(9,J42:J48)</f>
        <v>59360.100000000006</v>
      </c>
      <c r="K41" s="261"/>
      <c r="L41" s="262"/>
      <c r="M41" s="279">
        <f>SUM(M42:M48)</f>
        <v>1973.8463999999999</v>
      </c>
      <c r="N41" s="280"/>
      <c r="O41" s="262"/>
      <c r="P41" s="279">
        <f>SUM(P42:P48)</f>
        <v>61333.861099999995</v>
      </c>
      <c r="Q41" s="291">
        <f t="shared" si="7"/>
        <v>0</v>
      </c>
    </row>
    <row r="42" spans="2:23" s="121" customFormat="1" ht="16.5" customHeight="1" x14ac:dyDescent="0.2">
      <c r="B42" s="120"/>
      <c r="C42" s="56" t="s">
        <v>174</v>
      </c>
      <c r="D42" s="56" t="s">
        <v>96</v>
      </c>
      <c r="E42" s="57" t="s">
        <v>231</v>
      </c>
      <c r="F42" s="58" t="s">
        <v>232</v>
      </c>
      <c r="G42" s="59" t="s">
        <v>99</v>
      </c>
      <c r="H42" s="60">
        <v>4</v>
      </c>
      <c r="I42" s="61">
        <v>122.32</v>
      </c>
      <c r="J42" s="60">
        <v>489.3</v>
      </c>
      <c r="K42" s="68">
        <v>0</v>
      </c>
      <c r="L42" s="69">
        <f t="shared" si="2"/>
        <v>122.32</v>
      </c>
      <c r="M42" s="273">
        <f t="shared" si="3"/>
        <v>0</v>
      </c>
      <c r="N42" s="71">
        <f t="shared" si="4"/>
        <v>4</v>
      </c>
      <c r="O42" s="72">
        <f t="shared" si="5"/>
        <v>122.32</v>
      </c>
      <c r="P42" s="274">
        <f t="shared" si="6"/>
        <v>489.28</v>
      </c>
      <c r="Q42" s="291">
        <f t="shared" si="7"/>
        <v>4.22</v>
      </c>
    </row>
    <row r="43" spans="2:23" s="121" customFormat="1" ht="16.5" customHeight="1" x14ac:dyDescent="0.2">
      <c r="B43" s="120"/>
      <c r="C43" s="73" t="s">
        <v>177</v>
      </c>
      <c r="D43" s="73" t="s">
        <v>209</v>
      </c>
      <c r="E43" s="74" t="s">
        <v>234</v>
      </c>
      <c r="F43" s="75" t="s">
        <v>235</v>
      </c>
      <c r="G43" s="76" t="s">
        <v>99</v>
      </c>
      <c r="H43" s="77">
        <v>2</v>
      </c>
      <c r="I43" s="78">
        <v>345.9</v>
      </c>
      <c r="J43" s="77">
        <v>691.8</v>
      </c>
      <c r="K43" s="68">
        <v>0</v>
      </c>
      <c r="L43" s="69">
        <f t="shared" si="2"/>
        <v>345.9</v>
      </c>
      <c r="M43" s="273">
        <f t="shared" si="3"/>
        <v>0</v>
      </c>
      <c r="N43" s="71">
        <f t="shared" si="4"/>
        <v>2</v>
      </c>
      <c r="O43" s="72">
        <f t="shared" si="5"/>
        <v>345.9</v>
      </c>
      <c r="P43" s="274">
        <f t="shared" si="6"/>
        <v>691.8</v>
      </c>
      <c r="Q43" s="291">
        <f t="shared" si="7"/>
        <v>2.11</v>
      </c>
    </row>
    <row r="44" spans="2:23" s="121" customFormat="1" ht="16.5" customHeight="1" x14ac:dyDescent="0.2">
      <c r="B44" s="120"/>
      <c r="C44" s="73" t="s">
        <v>180</v>
      </c>
      <c r="D44" s="73" t="s">
        <v>209</v>
      </c>
      <c r="E44" s="74" t="s">
        <v>237</v>
      </c>
      <c r="F44" s="75" t="s">
        <v>238</v>
      </c>
      <c r="G44" s="76" t="s">
        <v>99</v>
      </c>
      <c r="H44" s="77">
        <v>2</v>
      </c>
      <c r="I44" s="78">
        <v>313.02</v>
      </c>
      <c r="J44" s="77">
        <v>626</v>
      </c>
      <c r="K44" s="68">
        <v>0</v>
      </c>
      <c r="L44" s="69">
        <f t="shared" si="2"/>
        <v>313.02</v>
      </c>
      <c r="M44" s="273">
        <f t="shared" si="3"/>
        <v>0</v>
      </c>
      <c r="N44" s="71">
        <f t="shared" si="4"/>
        <v>2</v>
      </c>
      <c r="O44" s="72">
        <f t="shared" si="5"/>
        <v>313.02</v>
      </c>
      <c r="P44" s="274">
        <f t="shared" si="6"/>
        <v>626.04</v>
      </c>
      <c r="Q44" s="291">
        <f t="shared" si="7"/>
        <v>2.11</v>
      </c>
    </row>
    <row r="45" spans="2:23" s="121" customFormat="1" ht="16.5" customHeight="1" x14ac:dyDescent="0.2">
      <c r="B45" s="120"/>
      <c r="C45" s="56" t="s">
        <v>183</v>
      </c>
      <c r="D45" s="56" t="s">
        <v>96</v>
      </c>
      <c r="E45" s="57" t="s">
        <v>246</v>
      </c>
      <c r="F45" s="58" t="s">
        <v>247</v>
      </c>
      <c r="G45" s="59" t="s">
        <v>99</v>
      </c>
      <c r="H45" s="60">
        <v>5</v>
      </c>
      <c r="I45" s="61">
        <v>152.57</v>
      </c>
      <c r="J45" s="60">
        <v>762.9</v>
      </c>
      <c r="K45" s="68">
        <v>0</v>
      </c>
      <c r="L45" s="69">
        <f t="shared" si="2"/>
        <v>152.57</v>
      </c>
      <c r="M45" s="273">
        <f t="shared" si="3"/>
        <v>0</v>
      </c>
      <c r="N45" s="71">
        <f t="shared" si="4"/>
        <v>5</v>
      </c>
      <c r="O45" s="72">
        <f t="shared" si="5"/>
        <v>152.57</v>
      </c>
      <c r="P45" s="274">
        <f t="shared" si="6"/>
        <v>762.84999999999991</v>
      </c>
      <c r="Q45" s="291">
        <f t="shared" si="7"/>
        <v>5.27</v>
      </c>
    </row>
    <row r="46" spans="2:23" s="121" customFormat="1" ht="16.5" customHeight="1" x14ac:dyDescent="0.2">
      <c r="B46" s="120"/>
      <c r="C46" s="73" t="s">
        <v>186</v>
      </c>
      <c r="D46" s="73" t="s">
        <v>209</v>
      </c>
      <c r="E46" s="74" t="s">
        <v>249</v>
      </c>
      <c r="F46" s="75" t="s">
        <v>250</v>
      </c>
      <c r="G46" s="76" t="s">
        <v>99</v>
      </c>
      <c r="H46" s="77">
        <v>5</v>
      </c>
      <c r="I46" s="78">
        <v>395.88</v>
      </c>
      <c r="J46" s="77">
        <v>1979.4</v>
      </c>
      <c r="K46" s="68">
        <v>0</v>
      </c>
      <c r="L46" s="69">
        <f t="shared" si="2"/>
        <v>395.88</v>
      </c>
      <c r="M46" s="273">
        <f t="shared" si="3"/>
        <v>0</v>
      </c>
      <c r="N46" s="71">
        <f t="shared" si="4"/>
        <v>5</v>
      </c>
      <c r="O46" s="72">
        <f t="shared" si="5"/>
        <v>395.88</v>
      </c>
      <c r="P46" s="274">
        <f t="shared" si="6"/>
        <v>1979.4</v>
      </c>
      <c r="Q46" s="291">
        <f t="shared" si="7"/>
        <v>5.27</v>
      </c>
    </row>
    <row r="47" spans="2:23" s="121" customFormat="1" ht="16.5" customHeight="1" x14ac:dyDescent="0.2">
      <c r="B47" s="120"/>
      <c r="C47" s="56" t="s">
        <v>189</v>
      </c>
      <c r="D47" s="56" t="s">
        <v>96</v>
      </c>
      <c r="E47" s="57" t="s">
        <v>252</v>
      </c>
      <c r="F47" s="58" t="s">
        <v>253</v>
      </c>
      <c r="G47" s="59" t="s">
        <v>150</v>
      </c>
      <c r="H47" s="60">
        <v>15.75</v>
      </c>
      <c r="I47" s="61">
        <v>3239.16</v>
      </c>
      <c r="J47" s="60">
        <v>51016.800000000003</v>
      </c>
      <c r="K47" s="68">
        <f t="shared" ref="K47:K48" si="9">ROUND(120/116*Q47-Q47,2)</f>
        <v>0.56999999999999995</v>
      </c>
      <c r="L47" s="69">
        <f t="shared" si="2"/>
        <v>3239.16</v>
      </c>
      <c r="M47" s="273">
        <f t="shared" si="3"/>
        <v>1846.3211999999999</v>
      </c>
      <c r="N47" s="71">
        <f t="shared" si="4"/>
        <v>16.32</v>
      </c>
      <c r="O47" s="72">
        <f t="shared" si="5"/>
        <v>3239.16</v>
      </c>
      <c r="P47" s="274">
        <f t="shared" si="6"/>
        <v>52863.091199999995</v>
      </c>
      <c r="Q47" s="291">
        <f t="shared" si="7"/>
        <v>16.61</v>
      </c>
    </row>
    <row r="48" spans="2:23" s="121" customFormat="1" ht="78.75" x14ac:dyDescent="0.2">
      <c r="B48" s="120"/>
      <c r="C48" s="56" t="s">
        <v>192</v>
      </c>
      <c r="D48" s="56" t="s">
        <v>96</v>
      </c>
      <c r="E48" s="57" t="s">
        <v>255</v>
      </c>
      <c r="F48" s="58" t="s">
        <v>256</v>
      </c>
      <c r="G48" s="59" t="s">
        <v>150</v>
      </c>
      <c r="H48" s="60">
        <v>1.19</v>
      </c>
      <c r="I48" s="61">
        <v>3188.13</v>
      </c>
      <c r="J48" s="60">
        <v>3793.9</v>
      </c>
      <c r="K48" s="68">
        <f t="shared" si="9"/>
        <v>0.04</v>
      </c>
      <c r="L48" s="69">
        <f t="shared" si="2"/>
        <v>3188.13</v>
      </c>
      <c r="M48" s="273">
        <f t="shared" si="3"/>
        <v>127.52520000000001</v>
      </c>
      <c r="N48" s="71">
        <f t="shared" si="4"/>
        <v>1.23</v>
      </c>
      <c r="O48" s="72">
        <f t="shared" si="5"/>
        <v>3188.13</v>
      </c>
      <c r="P48" s="274">
        <f t="shared" si="6"/>
        <v>3921.3998999999999</v>
      </c>
      <c r="Q48" s="291">
        <f t="shared" si="7"/>
        <v>1.26</v>
      </c>
      <c r="R48" s="186" t="s">
        <v>981</v>
      </c>
      <c r="W48" s="190" t="s">
        <v>995</v>
      </c>
    </row>
    <row r="49" spans="2:23" s="170" customFormat="1" ht="22.9" customHeight="1" x14ac:dyDescent="0.2">
      <c r="B49" s="165"/>
      <c r="C49" s="252"/>
      <c r="D49" s="253" t="s">
        <v>4</v>
      </c>
      <c r="E49" s="254" t="s">
        <v>105</v>
      </c>
      <c r="F49" s="254" t="s">
        <v>257</v>
      </c>
      <c r="G49" s="252"/>
      <c r="H49" s="252"/>
      <c r="I49" s="255"/>
      <c r="J49" s="256">
        <f>+SUBTOTAL(9,J50:J54)</f>
        <v>127494.90000000001</v>
      </c>
      <c r="K49" s="261"/>
      <c r="L49" s="262"/>
      <c r="M49" s="279">
        <f>SUM(M50:M54)</f>
        <v>0</v>
      </c>
      <c r="N49" s="280"/>
      <c r="O49" s="262"/>
      <c r="P49" s="279">
        <f>SUM(P50:P54)</f>
        <v>127494.82999999999</v>
      </c>
      <c r="Q49" s="291">
        <f t="shared" si="7"/>
        <v>0</v>
      </c>
    </row>
    <row r="50" spans="2:23" s="121" customFormat="1" ht="16.5" customHeight="1" x14ac:dyDescent="0.2">
      <c r="B50" s="120"/>
      <c r="C50" s="56" t="s">
        <v>195</v>
      </c>
      <c r="D50" s="56" t="s">
        <v>96</v>
      </c>
      <c r="E50" s="57" t="s">
        <v>262</v>
      </c>
      <c r="F50" s="58" t="s">
        <v>263</v>
      </c>
      <c r="G50" s="59" t="s">
        <v>108</v>
      </c>
      <c r="H50" s="60">
        <v>76.209999999999994</v>
      </c>
      <c r="I50" s="61">
        <v>302.54000000000002</v>
      </c>
      <c r="J50" s="60">
        <v>23056.6</v>
      </c>
      <c r="K50" s="68">
        <v>0</v>
      </c>
      <c r="L50" s="69">
        <f t="shared" si="2"/>
        <v>302.54000000000002</v>
      </c>
      <c r="M50" s="273">
        <f t="shared" si="3"/>
        <v>0</v>
      </c>
      <c r="N50" s="71">
        <f t="shared" si="4"/>
        <v>76.209999999999994</v>
      </c>
      <c r="O50" s="72">
        <f t="shared" si="5"/>
        <v>302.54000000000002</v>
      </c>
      <c r="P50" s="274">
        <f t="shared" si="6"/>
        <v>23056.573400000001</v>
      </c>
      <c r="Q50" s="291">
        <f t="shared" si="7"/>
        <v>80.38</v>
      </c>
    </row>
    <row r="51" spans="2:23" s="121" customFormat="1" ht="16.5" customHeight="1" x14ac:dyDescent="0.2">
      <c r="B51" s="120"/>
      <c r="C51" s="56" t="s">
        <v>198</v>
      </c>
      <c r="D51" s="56" t="s">
        <v>96</v>
      </c>
      <c r="E51" s="57" t="s">
        <v>268</v>
      </c>
      <c r="F51" s="58" t="s">
        <v>269</v>
      </c>
      <c r="G51" s="59" t="s">
        <v>108</v>
      </c>
      <c r="H51" s="60">
        <v>76.209999999999994</v>
      </c>
      <c r="I51" s="61">
        <v>14.18</v>
      </c>
      <c r="J51" s="60">
        <v>1080.7</v>
      </c>
      <c r="K51" s="68">
        <v>0</v>
      </c>
      <c r="L51" s="69">
        <f t="shared" si="2"/>
        <v>14.18</v>
      </c>
      <c r="M51" s="273">
        <f t="shared" si="3"/>
        <v>0</v>
      </c>
      <c r="N51" s="71">
        <f t="shared" si="4"/>
        <v>76.209999999999994</v>
      </c>
      <c r="O51" s="72">
        <f t="shared" si="5"/>
        <v>14.18</v>
      </c>
      <c r="P51" s="274">
        <f t="shared" si="6"/>
        <v>1080.6578</v>
      </c>
      <c r="Q51" s="291">
        <f t="shared" si="7"/>
        <v>80.38</v>
      </c>
    </row>
    <row r="52" spans="2:23" s="121" customFormat="1" ht="16.5" customHeight="1" x14ac:dyDescent="0.2">
      <c r="B52" s="120"/>
      <c r="C52" s="56" t="s">
        <v>202</v>
      </c>
      <c r="D52" s="56" t="s">
        <v>96</v>
      </c>
      <c r="E52" s="57" t="s">
        <v>271</v>
      </c>
      <c r="F52" s="58" t="s">
        <v>272</v>
      </c>
      <c r="G52" s="59" t="s">
        <v>108</v>
      </c>
      <c r="H52" s="60">
        <v>145.49</v>
      </c>
      <c r="I52" s="61">
        <v>20.62</v>
      </c>
      <c r="J52" s="60">
        <v>3000</v>
      </c>
      <c r="K52" s="68">
        <v>0</v>
      </c>
      <c r="L52" s="69">
        <f t="shared" si="2"/>
        <v>20.62</v>
      </c>
      <c r="M52" s="273">
        <f t="shared" si="3"/>
        <v>0</v>
      </c>
      <c r="N52" s="71">
        <f t="shared" si="4"/>
        <v>145.49</v>
      </c>
      <c r="O52" s="72">
        <f t="shared" si="5"/>
        <v>20.62</v>
      </c>
      <c r="P52" s="274">
        <f t="shared" si="6"/>
        <v>3000.0038000000004</v>
      </c>
      <c r="Q52" s="291">
        <f t="shared" si="7"/>
        <v>153.44999999999999</v>
      </c>
    </row>
    <row r="53" spans="2:23" s="121" customFormat="1" ht="16.5" customHeight="1" x14ac:dyDescent="0.2">
      <c r="B53" s="120"/>
      <c r="C53" s="56" t="s">
        <v>205</v>
      </c>
      <c r="D53" s="56" t="s">
        <v>96</v>
      </c>
      <c r="E53" s="57" t="s">
        <v>274</v>
      </c>
      <c r="F53" s="58" t="s">
        <v>275</v>
      </c>
      <c r="G53" s="59" t="s">
        <v>108</v>
      </c>
      <c r="H53" s="60">
        <v>145.49</v>
      </c>
      <c r="I53" s="61">
        <v>396.71</v>
      </c>
      <c r="J53" s="60">
        <v>57717.3</v>
      </c>
      <c r="K53" s="68">
        <v>0</v>
      </c>
      <c r="L53" s="69">
        <f t="shared" si="2"/>
        <v>396.71</v>
      </c>
      <c r="M53" s="273">
        <f t="shared" si="3"/>
        <v>0</v>
      </c>
      <c r="N53" s="71">
        <f t="shared" si="4"/>
        <v>145.49</v>
      </c>
      <c r="O53" s="72">
        <f t="shared" si="5"/>
        <v>396.71</v>
      </c>
      <c r="P53" s="274">
        <f t="shared" si="6"/>
        <v>57717.337899999999</v>
      </c>
      <c r="Q53" s="291">
        <f t="shared" si="7"/>
        <v>153.44999999999999</v>
      </c>
    </row>
    <row r="54" spans="2:23" s="121" customFormat="1" ht="16.5" customHeight="1" x14ac:dyDescent="0.2">
      <c r="B54" s="120"/>
      <c r="C54" s="56" t="s">
        <v>208</v>
      </c>
      <c r="D54" s="56" t="s">
        <v>96</v>
      </c>
      <c r="E54" s="57" t="s">
        <v>277</v>
      </c>
      <c r="F54" s="58" t="s">
        <v>278</v>
      </c>
      <c r="G54" s="59" t="s">
        <v>108</v>
      </c>
      <c r="H54" s="60">
        <v>76.209999999999994</v>
      </c>
      <c r="I54" s="61">
        <v>559.51</v>
      </c>
      <c r="J54" s="60">
        <v>42640.3</v>
      </c>
      <c r="K54" s="68">
        <v>0</v>
      </c>
      <c r="L54" s="69">
        <f t="shared" si="2"/>
        <v>559.51</v>
      </c>
      <c r="M54" s="273">
        <f t="shared" si="3"/>
        <v>0</v>
      </c>
      <c r="N54" s="71">
        <f t="shared" si="4"/>
        <v>76.209999999999994</v>
      </c>
      <c r="O54" s="72">
        <f t="shared" si="5"/>
        <v>559.51</v>
      </c>
      <c r="P54" s="274">
        <f t="shared" si="6"/>
        <v>42640.257099999995</v>
      </c>
      <c r="Q54" s="291">
        <f t="shared" si="7"/>
        <v>80.38</v>
      </c>
    </row>
    <row r="55" spans="2:23" s="170" customFormat="1" ht="22.9" customHeight="1" x14ac:dyDescent="0.2">
      <c r="B55" s="165"/>
      <c r="C55" s="252"/>
      <c r="D55" s="253" t="s">
        <v>4</v>
      </c>
      <c r="E55" s="254" t="s">
        <v>115</v>
      </c>
      <c r="F55" s="254" t="s">
        <v>288</v>
      </c>
      <c r="G55" s="252"/>
      <c r="H55" s="252"/>
      <c r="I55" s="255"/>
      <c r="J55" s="256">
        <f>+SUBTOTAL(9,J56:J75)</f>
        <v>348236.89999999997</v>
      </c>
      <c r="K55" s="261"/>
      <c r="L55" s="262"/>
      <c r="M55" s="279">
        <f>SUM(M56:M75)</f>
        <v>6710.8</v>
      </c>
      <c r="N55" s="280"/>
      <c r="O55" s="262"/>
      <c r="P55" s="279">
        <f>SUM(P56:P75)</f>
        <v>354947.52079999994</v>
      </c>
      <c r="Q55" s="291">
        <f t="shared" si="7"/>
        <v>0</v>
      </c>
    </row>
    <row r="56" spans="2:23" s="121" customFormat="1" ht="56.25" x14ac:dyDescent="0.2">
      <c r="B56" s="120"/>
      <c r="C56" s="56" t="s">
        <v>212</v>
      </c>
      <c r="D56" s="56" t="s">
        <v>96</v>
      </c>
      <c r="E56" s="57" t="s">
        <v>296</v>
      </c>
      <c r="F56" s="58" t="s">
        <v>297</v>
      </c>
      <c r="G56" s="59" t="s">
        <v>133</v>
      </c>
      <c r="H56" s="60">
        <v>109.98</v>
      </c>
      <c r="I56" s="61">
        <v>552.39</v>
      </c>
      <c r="J56" s="60">
        <v>60751.9</v>
      </c>
      <c r="K56" s="68">
        <f t="shared" ref="K56:K57" si="10">ROUND(120/116*Q56-Q56,2)</f>
        <v>4</v>
      </c>
      <c r="L56" s="69">
        <f t="shared" si="2"/>
        <v>552.39</v>
      </c>
      <c r="M56" s="273">
        <f t="shared" si="3"/>
        <v>2209.56</v>
      </c>
      <c r="N56" s="71">
        <f t="shared" si="4"/>
        <v>113.98</v>
      </c>
      <c r="O56" s="72">
        <f t="shared" si="5"/>
        <v>552.39</v>
      </c>
      <c r="P56" s="274">
        <f t="shared" si="6"/>
        <v>62961.412199999999</v>
      </c>
      <c r="Q56" s="291">
        <f t="shared" si="7"/>
        <v>116</v>
      </c>
      <c r="W56" s="190" t="s">
        <v>999</v>
      </c>
    </row>
    <row r="57" spans="2:23" s="121" customFormat="1" ht="56.25" x14ac:dyDescent="0.2">
      <c r="B57" s="120"/>
      <c r="C57" s="73" t="s">
        <v>215</v>
      </c>
      <c r="D57" s="73" t="s">
        <v>209</v>
      </c>
      <c r="E57" s="74" t="s">
        <v>299</v>
      </c>
      <c r="F57" s="75" t="s">
        <v>300</v>
      </c>
      <c r="G57" s="76" t="s">
        <v>133</v>
      </c>
      <c r="H57" s="77">
        <v>109.98</v>
      </c>
      <c r="I57" s="78">
        <v>1060.07</v>
      </c>
      <c r="J57" s="77">
        <v>116586.5</v>
      </c>
      <c r="K57" s="68">
        <f t="shared" si="10"/>
        <v>4</v>
      </c>
      <c r="L57" s="69">
        <f t="shared" si="2"/>
        <v>1060.07</v>
      </c>
      <c r="M57" s="273">
        <f t="shared" si="3"/>
        <v>4240.28</v>
      </c>
      <c r="N57" s="71">
        <f t="shared" si="4"/>
        <v>113.98</v>
      </c>
      <c r="O57" s="72">
        <f t="shared" si="5"/>
        <v>1060.07</v>
      </c>
      <c r="P57" s="274">
        <f t="shared" si="6"/>
        <v>120826.77859999999</v>
      </c>
      <c r="Q57" s="291">
        <f t="shared" si="7"/>
        <v>116</v>
      </c>
      <c r="W57" s="190" t="s">
        <v>999</v>
      </c>
    </row>
    <row r="58" spans="2:23" s="121" customFormat="1" ht="16.5" customHeight="1" x14ac:dyDescent="0.2">
      <c r="B58" s="120"/>
      <c r="C58" s="73" t="s">
        <v>219</v>
      </c>
      <c r="D58" s="73" t="s">
        <v>209</v>
      </c>
      <c r="E58" s="74" t="s">
        <v>302</v>
      </c>
      <c r="F58" s="75" t="s">
        <v>303</v>
      </c>
      <c r="G58" s="76" t="s">
        <v>99</v>
      </c>
      <c r="H58" s="77">
        <v>6</v>
      </c>
      <c r="I58" s="78">
        <v>739.15</v>
      </c>
      <c r="J58" s="77">
        <v>4434.8999999999996</v>
      </c>
      <c r="K58" s="68">
        <v>0</v>
      </c>
      <c r="L58" s="69">
        <f t="shared" si="2"/>
        <v>739.15</v>
      </c>
      <c r="M58" s="273">
        <f t="shared" si="3"/>
        <v>0</v>
      </c>
      <c r="N58" s="71">
        <f t="shared" si="4"/>
        <v>6</v>
      </c>
      <c r="O58" s="72">
        <f t="shared" si="5"/>
        <v>739.15</v>
      </c>
      <c r="P58" s="274">
        <f t="shared" si="6"/>
        <v>4434.8999999999996</v>
      </c>
      <c r="Q58" s="291">
        <f t="shared" si="7"/>
        <v>6.33</v>
      </c>
    </row>
    <row r="59" spans="2:23" s="121" customFormat="1" ht="16.5" customHeight="1" x14ac:dyDescent="0.2">
      <c r="B59" s="120"/>
      <c r="C59" s="56" t="s">
        <v>223</v>
      </c>
      <c r="D59" s="56" t="s">
        <v>96</v>
      </c>
      <c r="E59" s="57" t="s">
        <v>320</v>
      </c>
      <c r="F59" s="58" t="s">
        <v>321</v>
      </c>
      <c r="G59" s="59" t="s">
        <v>99</v>
      </c>
      <c r="H59" s="60">
        <v>1</v>
      </c>
      <c r="I59" s="61">
        <v>260.41000000000003</v>
      </c>
      <c r="J59" s="60">
        <v>260.39999999999998</v>
      </c>
      <c r="K59" s="68">
        <v>0</v>
      </c>
      <c r="L59" s="69">
        <f t="shared" si="2"/>
        <v>260.41000000000003</v>
      </c>
      <c r="M59" s="273">
        <f t="shared" si="3"/>
        <v>0</v>
      </c>
      <c r="N59" s="71">
        <f t="shared" si="4"/>
        <v>1</v>
      </c>
      <c r="O59" s="72">
        <f t="shared" si="5"/>
        <v>260.41000000000003</v>
      </c>
      <c r="P59" s="274">
        <f t="shared" si="6"/>
        <v>260.41000000000003</v>
      </c>
      <c r="Q59" s="291">
        <f t="shared" si="7"/>
        <v>1.05</v>
      </c>
    </row>
    <row r="60" spans="2:23" s="121" customFormat="1" ht="16.5" customHeight="1" x14ac:dyDescent="0.2">
      <c r="B60" s="120"/>
      <c r="C60" s="73" t="s">
        <v>226</v>
      </c>
      <c r="D60" s="73" t="s">
        <v>209</v>
      </c>
      <c r="E60" s="74" t="s">
        <v>326</v>
      </c>
      <c r="F60" s="75" t="s">
        <v>327</v>
      </c>
      <c r="G60" s="76" t="s">
        <v>99</v>
      </c>
      <c r="H60" s="77">
        <v>1.02</v>
      </c>
      <c r="I60" s="78">
        <v>1801.85</v>
      </c>
      <c r="J60" s="77">
        <v>1837.9</v>
      </c>
      <c r="K60" s="68">
        <v>0</v>
      </c>
      <c r="L60" s="69">
        <f t="shared" si="2"/>
        <v>1801.85</v>
      </c>
      <c r="M60" s="273">
        <f t="shared" si="3"/>
        <v>0</v>
      </c>
      <c r="N60" s="71">
        <f t="shared" si="4"/>
        <v>1.02</v>
      </c>
      <c r="O60" s="72">
        <f t="shared" si="5"/>
        <v>1801.85</v>
      </c>
      <c r="P60" s="274">
        <f t="shared" si="6"/>
        <v>1837.8869999999999</v>
      </c>
      <c r="Q60" s="291">
        <f t="shared" si="7"/>
        <v>1.08</v>
      </c>
    </row>
    <row r="61" spans="2:23" s="121" customFormat="1" ht="16.5" customHeight="1" x14ac:dyDescent="0.2">
      <c r="B61" s="120"/>
      <c r="C61" s="56" t="s">
        <v>230</v>
      </c>
      <c r="D61" s="56" t="s">
        <v>96</v>
      </c>
      <c r="E61" s="57" t="s">
        <v>329</v>
      </c>
      <c r="F61" s="58" t="s">
        <v>330</v>
      </c>
      <c r="G61" s="59" t="s">
        <v>99</v>
      </c>
      <c r="H61" s="60">
        <v>9</v>
      </c>
      <c r="I61" s="61">
        <v>219.64</v>
      </c>
      <c r="J61" s="60">
        <v>1976.8</v>
      </c>
      <c r="K61" s="68">
        <v>0</v>
      </c>
      <c r="L61" s="69">
        <f t="shared" si="2"/>
        <v>219.64</v>
      </c>
      <c r="M61" s="273">
        <f t="shared" si="3"/>
        <v>0</v>
      </c>
      <c r="N61" s="71">
        <f t="shared" si="4"/>
        <v>9</v>
      </c>
      <c r="O61" s="72">
        <f t="shared" si="5"/>
        <v>219.64</v>
      </c>
      <c r="P61" s="274">
        <f t="shared" si="6"/>
        <v>1976.7599999999998</v>
      </c>
      <c r="Q61" s="291">
        <f t="shared" si="7"/>
        <v>9.49</v>
      </c>
    </row>
    <row r="62" spans="2:23" s="121" customFormat="1" ht="16.5" customHeight="1" x14ac:dyDescent="0.2">
      <c r="B62" s="120"/>
      <c r="C62" s="73" t="s">
        <v>233</v>
      </c>
      <c r="D62" s="73" t="s">
        <v>209</v>
      </c>
      <c r="E62" s="74" t="s">
        <v>332</v>
      </c>
      <c r="F62" s="75" t="s">
        <v>333</v>
      </c>
      <c r="G62" s="76" t="s">
        <v>99</v>
      </c>
      <c r="H62" s="77">
        <v>4.0599999999999996</v>
      </c>
      <c r="I62" s="78">
        <v>1129.77</v>
      </c>
      <c r="J62" s="77">
        <v>4586.8999999999996</v>
      </c>
      <c r="K62" s="68">
        <v>0</v>
      </c>
      <c r="L62" s="69">
        <f t="shared" si="2"/>
        <v>1129.77</v>
      </c>
      <c r="M62" s="273">
        <f t="shared" si="3"/>
        <v>0</v>
      </c>
      <c r="N62" s="71">
        <f t="shared" si="4"/>
        <v>4.0599999999999996</v>
      </c>
      <c r="O62" s="72">
        <f t="shared" si="5"/>
        <v>1129.77</v>
      </c>
      <c r="P62" s="274">
        <f t="shared" si="6"/>
        <v>4586.8661999999995</v>
      </c>
      <c r="Q62" s="291">
        <f t="shared" si="7"/>
        <v>4.28</v>
      </c>
    </row>
    <row r="63" spans="2:23" s="121" customFormat="1" ht="16.5" customHeight="1" x14ac:dyDescent="0.2">
      <c r="B63" s="120"/>
      <c r="C63" s="73" t="s">
        <v>236</v>
      </c>
      <c r="D63" s="73" t="s">
        <v>209</v>
      </c>
      <c r="E63" s="74" t="s">
        <v>335</v>
      </c>
      <c r="F63" s="75" t="s">
        <v>336</v>
      </c>
      <c r="G63" s="76" t="s">
        <v>99</v>
      </c>
      <c r="H63" s="77">
        <v>5.08</v>
      </c>
      <c r="I63" s="78">
        <v>1129.77</v>
      </c>
      <c r="J63" s="77">
        <v>5739.2</v>
      </c>
      <c r="K63" s="68">
        <v>0</v>
      </c>
      <c r="L63" s="69">
        <f t="shared" si="2"/>
        <v>1129.77</v>
      </c>
      <c r="M63" s="273">
        <f t="shared" si="3"/>
        <v>0</v>
      </c>
      <c r="N63" s="71">
        <f t="shared" si="4"/>
        <v>5.08</v>
      </c>
      <c r="O63" s="72">
        <f t="shared" si="5"/>
        <v>1129.77</v>
      </c>
      <c r="P63" s="274">
        <f t="shared" si="6"/>
        <v>5739.2316000000001</v>
      </c>
      <c r="Q63" s="291">
        <f t="shared" si="7"/>
        <v>5.36</v>
      </c>
    </row>
    <row r="64" spans="2:23" s="121" customFormat="1" ht="33.75" customHeight="1" x14ac:dyDescent="0.2">
      <c r="B64" s="120"/>
      <c r="C64" s="56" t="s">
        <v>239</v>
      </c>
      <c r="D64" s="56" t="s">
        <v>96</v>
      </c>
      <c r="E64" s="57" t="s">
        <v>347</v>
      </c>
      <c r="F64" s="58" t="s">
        <v>348</v>
      </c>
      <c r="G64" s="59" t="s">
        <v>133</v>
      </c>
      <c r="H64" s="60">
        <v>109.98</v>
      </c>
      <c r="I64" s="61">
        <v>56.03</v>
      </c>
      <c r="J64" s="60">
        <v>6162.2</v>
      </c>
      <c r="K64" s="68">
        <f t="shared" ref="K64" si="11">ROUND(120/116*Q64-Q64,2)</f>
        <v>4</v>
      </c>
      <c r="L64" s="69">
        <f t="shared" si="2"/>
        <v>56.03</v>
      </c>
      <c r="M64" s="273">
        <f t="shared" si="3"/>
        <v>224.12</v>
      </c>
      <c r="N64" s="71">
        <f t="shared" si="4"/>
        <v>113.98</v>
      </c>
      <c r="O64" s="72">
        <f t="shared" si="5"/>
        <v>56.03</v>
      </c>
      <c r="P64" s="274">
        <f t="shared" si="6"/>
        <v>6386.2994000000008</v>
      </c>
      <c r="Q64" s="291">
        <f t="shared" si="7"/>
        <v>116</v>
      </c>
    </row>
    <row r="65" spans="2:23" s="121" customFormat="1" ht="16.5" customHeight="1" x14ac:dyDescent="0.2">
      <c r="B65" s="120"/>
      <c r="C65" s="56" t="s">
        <v>242</v>
      </c>
      <c r="D65" s="56" t="s">
        <v>96</v>
      </c>
      <c r="E65" s="57" t="s">
        <v>350</v>
      </c>
      <c r="F65" s="58" t="s">
        <v>351</v>
      </c>
      <c r="G65" s="59" t="s">
        <v>99</v>
      </c>
      <c r="H65" s="60">
        <v>4</v>
      </c>
      <c r="I65" s="61">
        <v>808.86</v>
      </c>
      <c r="J65" s="60">
        <v>3235.4</v>
      </c>
      <c r="K65" s="68">
        <v>0</v>
      </c>
      <c r="L65" s="69">
        <f t="shared" si="2"/>
        <v>808.86</v>
      </c>
      <c r="M65" s="273">
        <f t="shared" si="3"/>
        <v>0</v>
      </c>
      <c r="N65" s="71">
        <f t="shared" si="4"/>
        <v>4</v>
      </c>
      <c r="O65" s="72">
        <f t="shared" si="5"/>
        <v>808.86</v>
      </c>
      <c r="P65" s="274">
        <f t="shared" si="6"/>
        <v>3235.44</v>
      </c>
      <c r="Q65" s="291">
        <f t="shared" si="7"/>
        <v>4.22</v>
      </c>
    </row>
    <row r="66" spans="2:23" s="121" customFormat="1" ht="16.5" customHeight="1" x14ac:dyDescent="0.2">
      <c r="B66" s="120"/>
      <c r="C66" s="73" t="s">
        <v>245</v>
      </c>
      <c r="D66" s="73" t="s">
        <v>209</v>
      </c>
      <c r="E66" s="74" t="s">
        <v>356</v>
      </c>
      <c r="F66" s="75" t="s">
        <v>357</v>
      </c>
      <c r="G66" s="76" t="s">
        <v>99</v>
      </c>
      <c r="H66" s="77">
        <v>2</v>
      </c>
      <c r="I66" s="78">
        <v>1202.1099999999999</v>
      </c>
      <c r="J66" s="77">
        <v>2404.1999999999998</v>
      </c>
      <c r="K66" s="68">
        <v>0</v>
      </c>
      <c r="L66" s="69">
        <f t="shared" si="2"/>
        <v>1202.1099999999999</v>
      </c>
      <c r="M66" s="273">
        <f t="shared" si="3"/>
        <v>0</v>
      </c>
      <c r="N66" s="71">
        <f t="shared" si="4"/>
        <v>2</v>
      </c>
      <c r="O66" s="72">
        <f t="shared" si="5"/>
        <v>1202.1099999999999</v>
      </c>
      <c r="P66" s="274">
        <f t="shared" si="6"/>
        <v>2404.2199999999998</v>
      </c>
      <c r="Q66" s="291">
        <f t="shared" si="7"/>
        <v>2.11</v>
      </c>
    </row>
    <row r="67" spans="2:23" s="121" customFormat="1" ht="16.5" customHeight="1" x14ac:dyDescent="0.2">
      <c r="B67" s="120"/>
      <c r="C67" s="73" t="s">
        <v>248</v>
      </c>
      <c r="D67" s="73" t="s">
        <v>209</v>
      </c>
      <c r="E67" s="74" t="s">
        <v>359</v>
      </c>
      <c r="F67" s="75" t="s">
        <v>360</v>
      </c>
      <c r="G67" s="76" t="s">
        <v>99</v>
      </c>
      <c r="H67" s="77">
        <v>2</v>
      </c>
      <c r="I67" s="78">
        <v>775.98</v>
      </c>
      <c r="J67" s="77">
        <v>1552</v>
      </c>
      <c r="K67" s="68">
        <v>0</v>
      </c>
      <c r="L67" s="69">
        <f t="shared" si="2"/>
        <v>775.98</v>
      </c>
      <c r="M67" s="273">
        <f t="shared" si="3"/>
        <v>0</v>
      </c>
      <c r="N67" s="71">
        <f t="shared" si="4"/>
        <v>2</v>
      </c>
      <c r="O67" s="72">
        <f t="shared" si="5"/>
        <v>775.98</v>
      </c>
      <c r="P67" s="274">
        <f t="shared" si="6"/>
        <v>1551.96</v>
      </c>
      <c r="Q67" s="291">
        <f t="shared" si="7"/>
        <v>2.11</v>
      </c>
    </row>
    <row r="68" spans="2:23" s="121" customFormat="1" ht="16.5" customHeight="1" x14ac:dyDescent="0.2">
      <c r="B68" s="120"/>
      <c r="C68" s="73" t="s">
        <v>251</v>
      </c>
      <c r="D68" s="73" t="s">
        <v>209</v>
      </c>
      <c r="E68" s="74" t="s">
        <v>362</v>
      </c>
      <c r="F68" s="75" t="s">
        <v>363</v>
      </c>
      <c r="G68" s="76" t="s">
        <v>99</v>
      </c>
      <c r="H68" s="77">
        <v>9</v>
      </c>
      <c r="I68" s="78">
        <v>211.75</v>
      </c>
      <c r="J68" s="77">
        <v>1905.8</v>
      </c>
      <c r="K68" s="68">
        <v>0</v>
      </c>
      <c r="L68" s="69">
        <f t="shared" si="2"/>
        <v>211.75</v>
      </c>
      <c r="M68" s="273">
        <f t="shared" si="3"/>
        <v>0</v>
      </c>
      <c r="N68" s="71">
        <f t="shared" si="4"/>
        <v>9</v>
      </c>
      <c r="O68" s="72">
        <f t="shared" si="5"/>
        <v>211.75</v>
      </c>
      <c r="P68" s="274">
        <f t="shared" si="6"/>
        <v>1905.75</v>
      </c>
      <c r="Q68" s="291">
        <f t="shared" si="7"/>
        <v>9.49</v>
      </c>
    </row>
    <row r="69" spans="2:23" s="121" customFormat="1" ht="16.5" customHeight="1" x14ac:dyDescent="0.2">
      <c r="B69" s="120"/>
      <c r="C69" s="56" t="s">
        <v>254</v>
      </c>
      <c r="D69" s="56" t="s">
        <v>96</v>
      </c>
      <c r="E69" s="57" t="s">
        <v>365</v>
      </c>
      <c r="F69" s="58" t="s">
        <v>366</v>
      </c>
      <c r="G69" s="59" t="s">
        <v>99</v>
      </c>
      <c r="H69" s="60">
        <v>5</v>
      </c>
      <c r="I69" s="61">
        <v>808.86</v>
      </c>
      <c r="J69" s="60">
        <v>4044.3</v>
      </c>
      <c r="K69" s="68">
        <v>0</v>
      </c>
      <c r="L69" s="69">
        <f t="shared" si="2"/>
        <v>808.86</v>
      </c>
      <c r="M69" s="273">
        <f t="shared" si="3"/>
        <v>0</v>
      </c>
      <c r="N69" s="71">
        <f t="shared" si="4"/>
        <v>5</v>
      </c>
      <c r="O69" s="72">
        <f t="shared" si="5"/>
        <v>808.86</v>
      </c>
      <c r="P69" s="274">
        <f t="shared" si="6"/>
        <v>4044.3</v>
      </c>
      <c r="Q69" s="291">
        <f t="shared" si="7"/>
        <v>5.27</v>
      </c>
    </row>
    <row r="70" spans="2:23" s="121" customFormat="1" ht="16.5" customHeight="1" x14ac:dyDescent="0.2">
      <c r="B70" s="120"/>
      <c r="C70" s="73" t="s">
        <v>258</v>
      </c>
      <c r="D70" s="73" t="s">
        <v>209</v>
      </c>
      <c r="E70" s="74" t="s">
        <v>368</v>
      </c>
      <c r="F70" s="75" t="s">
        <v>369</v>
      </c>
      <c r="G70" s="76" t="s">
        <v>99</v>
      </c>
      <c r="H70" s="77">
        <v>5</v>
      </c>
      <c r="I70" s="78">
        <v>1530.92</v>
      </c>
      <c r="J70" s="77">
        <v>7654.6</v>
      </c>
      <c r="K70" s="68">
        <v>0</v>
      </c>
      <c r="L70" s="69">
        <f t="shared" si="2"/>
        <v>1530.92</v>
      </c>
      <c r="M70" s="273">
        <f t="shared" si="3"/>
        <v>0</v>
      </c>
      <c r="N70" s="71">
        <f t="shared" si="4"/>
        <v>5</v>
      </c>
      <c r="O70" s="72">
        <f t="shared" si="5"/>
        <v>1530.92</v>
      </c>
      <c r="P70" s="274">
        <f t="shared" si="6"/>
        <v>7654.6</v>
      </c>
      <c r="Q70" s="291">
        <f t="shared" si="7"/>
        <v>5.27</v>
      </c>
    </row>
    <row r="71" spans="2:23" s="121" customFormat="1" ht="16.5" customHeight="1" x14ac:dyDescent="0.2">
      <c r="B71" s="120"/>
      <c r="C71" s="56" t="s">
        <v>261</v>
      </c>
      <c r="D71" s="56" t="s">
        <v>96</v>
      </c>
      <c r="E71" s="57" t="s">
        <v>371</v>
      </c>
      <c r="F71" s="58" t="s">
        <v>372</v>
      </c>
      <c r="G71" s="59" t="s">
        <v>99</v>
      </c>
      <c r="H71" s="60">
        <v>5</v>
      </c>
      <c r="I71" s="61">
        <v>3234.12</v>
      </c>
      <c r="J71" s="60">
        <v>16170.6</v>
      </c>
      <c r="K71" s="68">
        <v>0</v>
      </c>
      <c r="L71" s="69">
        <f t="shared" si="2"/>
        <v>3234.12</v>
      </c>
      <c r="M71" s="273">
        <f t="shared" si="3"/>
        <v>0</v>
      </c>
      <c r="N71" s="71">
        <f t="shared" si="4"/>
        <v>5</v>
      </c>
      <c r="O71" s="72">
        <f t="shared" si="5"/>
        <v>3234.12</v>
      </c>
      <c r="P71" s="274">
        <f t="shared" si="6"/>
        <v>16170.599999999999</v>
      </c>
      <c r="Q71" s="291">
        <f t="shared" si="7"/>
        <v>5.27</v>
      </c>
    </row>
    <row r="72" spans="2:23" s="121" customFormat="1" ht="16.5" customHeight="1" x14ac:dyDescent="0.2">
      <c r="B72" s="120"/>
      <c r="C72" s="73" t="s">
        <v>264</v>
      </c>
      <c r="D72" s="73" t="s">
        <v>209</v>
      </c>
      <c r="E72" s="74" t="s">
        <v>374</v>
      </c>
      <c r="F72" s="75" t="s">
        <v>375</v>
      </c>
      <c r="G72" s="76" t="s">
        <v>99</v>
      </c>
      <c r="H72" s="77">
        <v>5</v>
      </c>
      <c r="I72" s="78">
        <v>14588.41</v>
      </c>
      <c r="J72" s="77">
        <v>72942.100000000006</v>
      </c>
      <c r="K72" s="68">
        <v>0</v>
      </c>
      <c r="L72" s="69">
        <f t="shared" si="2"/>
        <v>14588.41</v>
      </c>
      <c r="M72" s="273">
        <f t="shared" si="3"/>
        <v>0</v>
      </c>
      <c r="N72" s="71">
        <f t="shared" si="4"/>
        <v>5</v>
      </c>
      <c r="O72" s="72">
        <f t="shared" si="5"/>
        <v>14588.41</v>
      </c>
      <c r="P72" s="274">
        <f t="shared" si="6"/>
        <v>72942.05</v>
      </c>
      <c r="Q72" s="291">
        <f t="shared" si="7"/>
        <v>5.27</v>
      </c>
    </row>
    <row r="73" spans="2:23" s="121" customFormat="1" ht="16.5" customHeight="1" x14ac:dyDescent="0.2">
      <c r="B73" s="120"/>
      <c r="C73" s="56" t="s">
        <v>267</v>
      </c>
      <c r="D73" s="56" t="s">
        <v>96</v>
      </c>
      <c r="E73" s="57" t="s">
        <v>377</v>
      </c>
      <c r="F73" s="58" t="s">
        <v>378</v>
      </c>
      <c r="G73" s="59" t="s">
        <v>99</v>
      </c>
      <c r="H73" s="60">
        <v>5</v>
      </c>
      <c r="I73" s="61">
        <v>485.32</v>
      </c>
      <c r="J73" s="60">
        <v>2426.6</v>
      </c>
      <c r="K73" s="68">
        <v>0</v>
      </c>
      <c r="L73" s="69">
        <f t="shared" si="2"/>
        <v>485.32</v>
      </c>
      <c r="M73" s="273">
        <f t="shared" si="3"/>
        <v>0</v>
      </c>
      <c r="N73" s="71">
        <f t="shared" si="4"/>
        <v>5</v>
      </c>
      <c r="O73" s="72">
        <f t="shared" si="5"/>
        <v>485.32</v>
      </c>
      <c r="P73" s="274">
        <f t="shared" si="6"/>
        <v>2426.6</v>
      </c>
      <c r="Q73" s="291">
        <f t="shared" si="7"/>
        <v>5.27</v>
      </c>
    </row>
    <row r="74" spans="2:23" s="121" customFormat="1" ht="16.5" customHeight="1" x14ac:dyDescent="0.2">
      <c r="B74" s="120"/>
      <c r="C74" s="73" t="s">
        <v>270</v>
      </c>
      <c r="D74" s="73" t="s">
        <v>209</v>
      </c>
      <c r="E74" s="74" t="s">
        <v>380</v>
      </c>
      <c r="F74" s="75" t="s">
        <v>381</v>
      </c>
      <c r="G74" s="76" t="s">
        <v>99</v>
      </c>
      <c r="H74" s="77">
        <v>5</v>
      </c>
      <c r="I74" s="78">
        <v>6510.34</v>
      </c>
      <c r="J74" s="77">
        <v>32551.7</v>
      </c>
      <c r="K74" s="68">
        <v>0</v>
      </c>
      <c r="L74" s="69">
        <f t="shared" si="2"/>
        <v>6510.34</v>
      </c>
      <c r="M74" s="273">
        <f t="shared" si="3"/>
        <v>0</v>
      </c>
      <c r="N74" s="71">
        <f t="shared" si="4"/>
        <v>5</v>
      </c>
      <c r="O74" s="72">
        <f t="shared" si="5"/>
        <v>6510.34</v>
      </c>
      <c r="P74" s="274">
        <f t="shared" si="6"/>
        <v>32551.7</v>
      </c>
      <c r="Q74" s="291">
        <f t="shared" si="7"/>
        <v>5.27</v>
      </c>
    </row>
    <row r="75" spans="2:23" s="121" customFormat="1" ht="56.25" x14ac:dyDescent="0.2">
      <c r="B75" s="120"/>
      <c r="C75" s="56" t="s">
        <v>273</v>
      </c>
      <c r="D75" s="56" t="s">
        <v>96</v>
      </c>
      <c r="E75" s="57" t="s">
        <v>383</v>
      </c>
      <c r="F75" s="58" t="s">
        <v>384</v>
      </c>
      <c r="G75" s="59" t="s">
        <v>133</v>
      </c>
      <c r="H75" s="60">
        <v>109.98</v>
      </c>
      <c r="I75" s="61">
        <v>9.2100000000000009</v>
      </c>
      <c r="J75" s="60">
        <v>1012.9</v>
      </c>
      <c r="K75" s="68">
        <f t="shared" ref="K75" si="12">ROUND(120/116*Q75-Q75,2)</f>
        <v>4</v>
      </c>
      <c r="L75" s="69">
        <f t="shared" si="2"/>
        <v>9.2100000000000009</v>
      </c>
      <c r="M75" s="273">
        <f t="shared" si="3"/>
        <v>36.840000000000003</v>
      </c>
      <c r="N75" s="71">
        <f t="shared" si="4"/>
        <v>113.98</v>
      </c>
      <c r="O75" s="72">
        <f t="shared" si="5"/>
        <v>9.2100000000000009</v>
      </c>
      <c r="P75" s="274">
        <f t="shared" si="6"/>
        <v>1049.7558000000001</v>
      </c>
      <c r="Q75" s="291">
        <f t="shared" si="7"/>
        <v>116</v>
      </c>
      <c r="W75" s="190" t="s">
        <v>999</v>
      </c>
    </row>
    <row r="76" spans="2:23" s="170" customFormat="1" ht="22.9" customHeight="1" x14ac:dyDescent="0.2">
      <c r="B76" s="165"/>
      <c r="C76" s="252"/>
      <c r="D76" s="253" t="s">
        <v>4</v>
      </c>
      <c r="E76" s="254" t="s">
        <v>118</v>
      </c>
      <c r="F76" s="254" t="s">
        <v>385</v>
      </c>
      <c r="G76" s="252"/>
      <c r="H76" s="252"/>
      <c r="I76" s="255"/>
      <c r="J76" s="256">
        <f>+SUBTOTAL(9,J77:J78)</f>
        <v>22168.199999999997</v>
      </c>
      <c r="K76" s="261"/>
      <c r="L76" s="262"/>
      <c r="M76" s="279">
        <f>SUM(M77:M78)</f>
        <v>0</v>
      </c>
      <c r="N76" s="280"/>
      <c r="O76" s="262"/>
      <c r="P76" s="279">
        <f>SUM(P77:P78)</f>
        <v>22168.214400000004</v>
      </c>
      <c r="Q76" s="291">
        <f t="shared" si="7"/>
        <v>0</v>
      </c>
    </row>
    <row r="77" spans="2:23" s="121" customFormat="1" ht="16.5" customHeight="1" x14ac:dyDescent="0.2">
      <c r="B77" s="120"/>
      <c r="C77" s="56" t="s">
        <v>276</v>
      </c>
      <c r="D77" s="56" t="s">
        <v>96</v>
      </c>
      <c r="E77" s="57" t="s">
        <v>387</v>
      </c>
      <c r="F77" s="58" t="s">
        <v>388</v>
      </c>
      <c r="G77" s="59" t="s">
        <v>133</v>
      </c>
      <c r="H77" s="60">
        <v>138.56</v>
      </c>
      <c r="I77" s="61">
        <v>87.65</v>
      </c>
      <c r="J77" s="60">
        <v>12144.8</v>
      </c>
      <c r="K77" s="68">
        <v>0</v>
      </c>
      <c r="L77" s="69">
        <f t="shared" si="2"/>
        <v>87.65</v>
      </c>
      <c r="M77" s="273">
        <f t="shared" si="3"/>
        <v>0</v>
      </c>
      <c r="N77" s="71">
        <f t="shared" si="4"/>
        <v>138.56</v>
      </c>
      <c r="O77" s="72">
        <f t="shared" si="5"/>
        <v>87.65</v>
      </c>
      <c r="P77" s="274">
        <f t="shared" si="6"/>
        <v>12144.784000000001</v>
      </c>
      <c r="Q77" s="291">
        <f t="shared" si="7"/>
        <v>146.13999999999999</v>
      </c>
    </row>
    <row r="78" spans="2:23" s="121" customFormat="1" ht="16.5" customHeight="1" x14ac:dyDescent="0.2">
      <c r="B78" s="120"/>
      <c r="C78" s="56" t="s">
        <v>279</v>
      </c>
      <c r="D78" s="56" t="s">
        <v>96</v>
      </c>
      <c r="E78" s="57" t="s">
        <v>390</v>
      </c>
      <c r="F78" s="58" t="s">
        <v>391</v>
      </c>
      <c r="G78" s="59" t="s">
        <v>133</v>
      </c>
      <c r="H78" s="60">
        <v>138.56</v>
      </c>
      <c r="I78" s="61">
        <v>72.34</v>
      </c>
      <c r="J78" s="60">
        <v>10023.4</v>
      </c>
      <c r="K78" s="68">
        <v>0</v>
      </c>
      <c r="L78" s="69">
        <f t="shared" si="2"/>
        <v>72.34</v>
      </c>
      <c r="M78" s="273">
        <f t="shared" si="3"/>
        <v>0</v>
      </c>
      <c r="N78" s="71">
        <f t="shared" si="4"/>
        <v>138.56</v>
      </c>
      <c r="O78" s="72">
        <f t="shared" si="5"/>
        <v>72.34</v>
      </c>
      <c r="P78" s="274">
        <f t="shared" si="6"/>
        <v>10023.430400000001</v>
      </c>
      <c r="Q78" s="291">
        <f t="shared" si="7"/>
        <v>146.13999999999999</v>
      </c>
    </row>
    <row r="79" spans="2:23" s="170" customFormat="1" ht="22.9" customHeight="1" x14ac:dyDescent="0.2">
      <c r="B79" s="165"/>
      <c r="C79" s="252"/>
      <c r="D79" s="253" t="s">
        <v>4</v>
      </c>
      <c r="E79" s="254" t="s">
        <v>398</v>
      </c>
      <c r="F79" s="254" t="s">
        <v>399</v>
      </c>
      <c r="G79" s="252"/>
      <c r="H79" s="252"/>
      <c r="I79" s="255"/>
      <c r="J79" s="256">
        <f>+SUBTOTAL(9,J80:J82)</f>
        <v>28186.400000000001</v>
      </c>
      <c r="K79" s="261"/>
      <c r="L79" s="262"/>
      <c r="M79" s="279">
        <f>SUM(M80:M82)</f>
        <v>668.41539999999998</v>
      </c>
      <c r="N79" s="280"/>
      <c r="O79" s="262"/>
      <c r="P79" s="279">
        <f>SUM(P80:P82)</f>
        <v>28854.759899999997</v>
      </c>
      <c r="Q79" s="291">
        <f t="shared" si="7"/>
        <v>0</v>
      </c>
    </row>
    <row r="80" spans="2:23" s="121" customFormat="1" ht="16.5" customHeight="1" x14ac:dyDescent="0.2">
      <c r="B80" s="120"/>
      <c r="C80" s="56" t="s">
        <v>282</v>
      </c>
      <c r="D80" s="56" t="s">
        <v>96</v>
      </c>
      <c r="E80" s="57" t="s">
        <v>401</v>
      </c>
      <c r="F80" s="58" t="s">
        <v>402</v>
      </c>
      <c r="G80" s="59" t="s">
        <v>201</v>
      </c>
      <c r="H80" s="60">
        <v>71.66</v>
      </c>
      <c r="I80" s="61">
        <v>183.8</v>
      </c>
      <c r="J80" s="60">
        <v>13171.1</v>
      </c>
      <c r="K80" s="68">
        <f t="shared" ref="K80" si="13">ROUND(120/116*Q80-Q80,2)</f>
        <v>2.61</v>
      </c>
      <c r="L80" s="69">
        <f t="shared" ref="L80:L84" si="14">I80</f>
        <v>183.8</v>
      </c>
      <c r="M80" s="273">
        <f t="shared" ref="M80:M84" si="15">K80*L80</f>
        <v>479.71800000000002</v>
      </c>
      <c r="N80" s="71">
        <f t="shared" ref="N80:N84" si="16">H80+K80</f>
        <v>74.27</v>
      </c>
      <c r="O80" s="72">
        <f t="shared" ref="O80:O84" si="17">I80</f>
        <v>183.8</v>
      </c>
      <c r="P80" s="274">
        <f t="shared" ref="P80:P84" si="18">N80*O80</f>
        <v>13650.826000000001</v>
      </c>
      <c r="Q80" s="291">
        <f t="shared" ref="Q80:Q84" si="19">ROUND(116/109.98*H80,2)</f>
        <v>75.58</v>
      </c>
    </row>
    <row r="81" spans="2:17" s="121" customFormat="1" ht="16.5" customHeight="1" x14ac:dyDescent="0.2">
      <c r="B81" s="120"/>
      <c r="C81" s="56" t="s">
        <v>285</v>
      </c>
      <c r="D81" s="56" t="s">
        <v>96</v>
      </c>
      <c r="E81" s="57" t="s">
        <v>407</v>
      </c>
      <c r="F81" s="58" t="s">
        <v>408</v>
      </c>
      <c r="G81" s="59" t="s">
        <v>201</v>
      </c>
      <c r="H81" s="60">
        <v>38.130000000000003</v>
      </c>
      <c r="I81" s="61">
        <v>257.77999999999997</v>
      </c>
      <c r="J81" s="60">
        <v>9829.2000000000007</v>
      </c>
      <c r="K81" s="68">
        <v>0</v>
      </c>
      <c r="L81" s="69">
        <f t="shared" si="14"/>
        <v>257.77999999999997</v>
      </c>
      <c r="M81" s="273">
        <f t="shared" si="15"/>
        <v>0</v>
      </c>
      <c r="N81" s="71">
        <f t="shared" si="16"/>
        <v>38.130000000000003</v>
      </c>
      <c r="O81" s="72">
        <f t="shared" si="17"/>
        <v>257.77999999999997</v>
      </c>
      <c r="P81" s="274">
        <f t="shared" si="18"/>
        <v>9829.1513999999988</v>
      </c>
      <c r="Q81" s="291">
        <f t="shared" si="19"/>
        <v>40.22</v>
      </c>
    </row>
    <row r="82" spans="2:17" s="121" customFormat="1" ht="16.5" customHeight="1" x14ac:dyDescent="0.2">
      <c r="B82" s="120"/>
      <c r="C82" s="56" t="s">
        <v>289</v>
      </c>
      <c r="D82" s="56" t="s">
        <v>96</v>
      </c>
      <c r="E82" s="57" t="s">
        <v>410</v>
      </c>
      <c r="F82" s="58" t="s">
        <v>411</v>
      </c>
      <c r="G82" s="59" t="s">
        <v>201</v>
      </c>
      <c r="H82" s="60">
        <v>33.53</v>
      </c>
      <c r="I82" s="61">
        <v>154.66999999999999</v>
      </c>
      <c r="J82" s="60">
        <v>5186.1000000000004</v>
      </c>
      <c r="K82" s="68">
        <f t="shared" ref="K82" si="20">ROUND(120/116*Q82-Q82,2)</f>
        <v>1.22</v>
      </c>
      <c r="L82" s="69">
        <f t="shared" si="14"/>
        <v>154.66999999999999</v>
      </c>
      <c r="M82" s="273">
        <f t="shared" si="15"/>
        <v>188.69739999999999</v>
      </c>
      <c r="N82" s="71">
        <f t="shared" si="16"/>
        <v>34.75</v>
      </c>
      <c r="O82" s="72">
        <f t="shared" si="17"/>
        <v>154.66999999999999</v>
      </c>
      <c r="P82" s="274">
        <f t="shared" si="18"/>
        <v>5374.7824999999993</v>
      </c>
      <c r="Q82" s="291">
        <f t="shared" si="19"/>
        <v>35.369999999999997</v>
      </c>
    </row>
    <row r="83" spans="2:17" s="170" customFormat="1" ht="22.9" customHeight="1" x14ac:dyDescent="0.2">
      <c r="B83" s="165"/>
      <c r="C83" s="252"/>
      <c r="D83" s="253" t="s">
        <v>4</v>
      </c>
      <c r="E83" s="254" t="s">
        <v>412</v>
      </c>
      <c r="F83" s="254" t="s">
        <v>413</v>
      </c>
      <c r="G83" s="252"/>
      <c r="H83" s="252"/>
      <c r="I83" s="255"/>
      <c r="J83" s="256">
        <f>+SUBTOTAL(9,J84)</f>
        <v>30700</v>
      </c>
      <c r="K83" s="261"/>
      <c r="L83" s="262"/>
      <c r="M83" s="279">
        <f>M84</f>
        <v>1116.7392</v>
      </c>
      <c r="N83" s="280"/>
      <c r="O83" s="262"/>
      <c r="P83" s="279">
        <f>P84</f>
        <v>31816.769400000001</v>
      </c>
      <c r="Q83" s="291">
        <f t="shared" si="19"/>
        <v>0</v>
      </c>
    </row>
    <row r="84" spans="2:17" s="121" customFormat="1" ht="16.5" customHeight="1" x14ac:dyDescent="0.2">
      <c r="B84" s="120"/>
      <c r="C84" s="56" t="s">
        <v>292</v>
      </c>
      <c r="D84" s="56" t="s">
        <v>96</v>
      </c>
      <c r="E84" s="57" t="s">
        <v>415</v>
      </c>
      <c r="F84" s="58" t="s">
        <v>416</v>
      </c>
      <c r="G84" s="59" t="s">
        <v>201</v>
      </c>
      <c r="H84" s="60">
        <v>268.31</v>
      </c>
      <c r="I84" s="61">
        <v>114.42</v>
      </c>
      <c r="J84" s="60">
        <v>30700</v>
      </c>
      <c r="K84" s="68">
        <f t="shared" ref="K84" si="21">ROUND(120/116*Q84-Q84,2)</f>
        <v>9.76</v>
      </c>
      <c r="L84" s="69">
        <f t="shared" si="14"/>
        <v>114.42</v>
      </c>
      <c r="M84" s="273">
        <f t="shared" si="15"/>
        <v>1116.7392</v>
      </c>
      <c r="N84" s="71">
        <f t="shared" si="16"/>
        <v>278.07</v>
      </c>
      <c r="O84" s="72">
        <f t="shared" si="17"/>
        <v>114.42</v>
      </c>
      <c r="P84" s="274">
        <f t="shared" si="18"/>
        <v>31816.769400000001</v>
      </c>
      <c r="Q84" s="291">
        <f t="shared" si="19"/>
        <v>283</v>
      </c>
    </row>
    <row r="85" spans="2:17" s="121" customFormat="1" ht="6.95" customHeight="1" x14ac:dyDescent="0.2">
      <c r="B85" s="120"/>
      <c r="C85" s="120"/>
      <c r="D85" s="120"/>
      <c r="E85" s="120"/>
      <c r="F85" s="120"/>
      <c r="G85" s="120"/>
      <c r="H85" s="120"/>
      <c r="I85" s="153"/>
      <c r="J85" s="120"/>
    </row>
    <row r="86" spans="2:17" ht="18" customHeight="1" x14ac:dyDescent="0.2">
      <c r="D86" s="42"/>
      <c r="E86" s="43" t="s">
        <v>894</v>
      </c>
      <c r="F86" s="44"/>
      <c r="G86" s="44"/>
      <c r="H86" s="45"/>
      <c r="I86" s="44"/>
      <c r="J86" s="46">
        <f>ROUND(SUBTOTAL(9,J12:J84),2)</f>
        <v>1178311.6000000001</v>
      </c>
      <c r="K86" s="49"/>
      <c r="L86" s="46"/>
      <c r="M86" s="281">
        <f>M83+M79+M76+M55+M49+M41+M38+M14</f>
        <v>30915.438200000004</v>
      </c>
      <c r="N86" s="49"/>
      <c r="O86" s="46"/>
      <c r="P86" s="281">
        <f>P83+P79+P76+P55+P49+P41+P38+P14</f>
        <v>1209226.5014</v>
      </c>
      <c r="Q86" s="281"/>
    </row>
    <row r="87" spans="2:17" ht="12.75" x14ac:dyDescent="0.2">
      <c r="H87" s="50"/>
      <c r="I87" s="8"/>
      <c r="J87" s="9"/>
    </row>
    <row r="88" spans="2:17" ht="14.25" x14ac:dyDescent="0.2">
      <c r="E88" s="6" t="s">
        <v>849</v>
      </c>
      <c r="F88" s="6"/>
      <c r="G88" s="320" t="s">
        <v>1224</v>
      </c>
      <c r="H88" s="50"/>
      <c r="I88" s="8"/>
      <c r="J88" s="6"/>
      <c r="K88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84" xr:uid="{BAD3688F-1065-454B-B71F-36133263D38F}"/>
  <mergeCells count="2">
    <mergeCell ref="K9:M9"/>
    <mergeCell ref="N9:P9"/>
  </mergeCells>
  <conditionalFormatting sqref="D3:E8 H3:J8 R9:HJ10 D1:J2 D11:HJ11 K1:HJ8 K12:O14 K15:L84">
    <cfRule type="cellIs" dxfId="447" priority="96" operator="lessThan">
      <formula>0</formula>
    </cfRule>
  </conditionalFormatting>
  <conditionalFormatting sqref="G4">
    <cfRule type="cellIs" dxfId="446" priority="95" operator="lessThan">
      <formula>0</formula>
    </cfRule>
  </conditionalFormatting>
  <conditionalFormatting sqref="G3">
    <cfRule type="cellIs" dxfId="445" priority="94" operator="lessThan">
      <formula>0</formula>
    </cfRule>
  </conditionalFormatting>
  <conditionalFormatting sqref="K12:O14 K15:L84">
    <cfRule type="cellIs" dxfId="444" priority="41" operator="lessThan">
      <formula>0</formula>
    </cfRule>
  </conditionalFormatting>
  <conditionalFormatting sqref="D86:D88 E86:HT87 Q88:HT88">
    <cfRule type="cellIs" dxfId="443" priority="30" operator="lessThan">
      <formula>0</formula>
    </cfRule>
  </conditionalFormatting>
  <conditionalFormatting sqref="N15:O84">
    <cfRule type="cellIs" dxfId="442" priority="12" operator="lessThan">
      <formula>0</formula>
    </cfRule>
  </conditionalFormatting>
  <conditionalFormatting sqref="N15:O84">
    <cfRule type="cellIs" dxfId="441" priority="11" operator="lessThan">
      <formula>0</formula>
    </cfRule>
  </conditionalFormatting>
  <conditionalFormatting sqref="E9:J10">
    <cfRule type="cellIs" dxfId="440" priority="9" operator="lessThan">
      <formula>0</formula>
    </cfRule>
  </conditionalFormatting>
  <conditionalFormatting sqref="K9:L10 N9:O9">
    <cfRule type="cellIs" dxfId="439" priority="8" operator="lessThan">
      <formula>0</formula>
    </cfRule>
  </conditionalFormatting>
  <conditionalFormatting sqref="M10:Q10">
    <cfRule type="cellIs" dxfId="438" priority="7" operator="lessThan">
      <formula>0</formula>
    </cfRule>
  </conditionalFormatting>
  <conditionalFormatting sqref="P14">
    <cfRule type="cellIs" dxfId="437" priority="6" operator="lessThan">
      <formula>0</formula>
    </cfRule>
  </conditionalFormatting>
  <conditionalFormatting sqref="P14">
    <cfRule type="cellIs" dxfId="436" priority="5" operator="lessThan">
      <formula>0</formula>
    </cfRule>
  </conditionalFormatting>
  <conditionalFormatting sqref="G88:I88 L88:P88">
    <cfRule type="cellIs" dxfId="435" priority="4" operator="lessThan">
      <formula>0</formula>
    </cfRule>
  </conditionalFormatting>
  <conditionalFormatting sqref="G88:I88 L88:M88">
    <cfRule type="cellIs" dxfId="434" priority="3" operator="lessThan">
      <formula>0</formula>
    </cfRule>
  </conditionalFormatting>
  <conditionalFormatting sqref="G88:I88">
    <cfRule type="cellIs" dxfId="433" priority="2" operator="lessThan">
      <formula>0</formula>
    </cfRule>
  </conditionalFormatting>
  <conditionalFormatting sqref="G88:I88">
    <cfRule type="cellIs" dxfId="432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9" fitToHeight="0" orientation="landscape" r:id="rId1"/>
  <headerFooter>
    <oddFooter>&amp;CStrana &amp;P z &amp;N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B1:U88"/>
  <sheetViews>
    <sheetView showGridLines="0" view="pageBreakPreview" topLeftCell="A54" zoomScale="60" zoomScaleNormal="85" workbookViewId="0">
      <selection activeCell="N82" sqref="N82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5" width="16.1640625" style="8" customWidth="1"/>
    <col min="16" max="16" width="19.6640625" style="8" customWidth="1"/>
    <col min="17" max="17" width="23.5" style="8" customWidth="1"/>
    <col min="18" max="30" width="16.1640625" style="8" customWidth="1"/>
    <col min="31" max="16384" width="9.33203125" style="8"/>
  </cols>
  <sheetData>
    <row r="1" spans="2:21" ht="18.95" customHeight="1" x14ac:dyDescent="0.2">
      <c r="F1" s="11"/>
      <c r="G1" s="89"/>
      <c r="H1" s="88"/>
      <c r="I1" s="8"/>
      <c r="J1" s="9"/>
    </row>
    <row r="2" spans="2:21" s="88" customFormat="1" ht="18" customHeight="1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</row>
    <row r="3" spans="2:21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21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21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21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21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21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B7 - Stoka B7</v>
      </c>
      <c r="M8" s="150"/>
      <c r="O8" s="151"/>
    </row>
    <row r="9" spans="2:21" s="15" customFormat="1" ht="20.100000000000001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</row>
    <row r="10" spans="2:21" s="15" customFormat="1" ht="24" customHeight="1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R10" s="189" t="s">
        <v>965</v>
      </c>
      <c r="U10" s="189" t="s">
        <v>984</v>
      </c>
    </row>
    <row r="11" spans="2:21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21" s="121" customFormat="1" ht="22.9" customHeight="1" x14ac:dyDescent="0.25">
      <c r="B12" s="120"/>
      <c r="C12" s="152" t="s">
        <v>487</v>
      </c>
      <c r="D12" s="120"/>
      <c r="E12" s="120"/>
      <c r="F12" s="120"/>
      <c r="G12" s="120"/>
      <c r="H12" s="120"/>
      <c r="I12" s="153"/>
      <c r="J12" s="154">
        <f>+SUBTOTAL(9,J13:J84)</f>
        <v>1333674.1000000003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21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+SUBTOTAL(9,J14:J84)</f>
        <v>1333674.1000000003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21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+SUBTOTAL(9,J15:J37)</f>
        <v>653407.80000000005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SUM(M15:M37)</f>
        <v>12668.006300000003</v>
      </c>
      <c r="N14" s="278" t="str">
        <f>IF(ISBLANK(H14),"",H14-K14)</f>
        <v/>
      </c>
      <c r="O14" s="272" t="str">
        <f>IF(ISBLANK(H14),"",J14-L14)</f>
        <v/>
      </c>
      <c r="P14" s="272">
        <f>SUM(P15:P37)</f>
        <v>666075.90139999997</v>
      </c>
      <c r="Q14" s="218" t="s">
        <v>1216</v>
      </c>
    </row>
    <row r="15" spans="2:21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176.79</v>
      </c>
      <c r="I15" s="61">
        <v>40.770000000000003</v>
      </c>
      <c r="J15" s="60">
        <v>7207.7</v>
      </c>
      <c r="K15" s="68">
        <f>ROUND(163.8/160.8*Q15-Q15,2)</f>
        <v>3.43</v>
      </c>
      <c r="L15" s="69">
        <f>I15</f>
        <v>40.770000000000003</v>
      </c>
      <c r="M15" s="273">
        <f>K15*L15</f>
        <v>139.84110000000001</v>
      </c>
      <c r="N15" s="71">
        <f>H15+K15</f>
        <v>180.22</v>
      </c>
      <c r="O15" s="72">
        <f>I15</f>
        <v>40.770000000000003</v>
      </c>
      <c r="P15" s="274">
        <f>N15*O15</f>
        <v>7347.5694000000003</v>
      </c>
      <c r="Q15" s="121">
        <f>ROUND(160.8/154.7*H15,2)</f>
        <v>183.76</v>
      </c>
      <c r="S15" s="121">
        <f t="shared" ref="S15:S37" si="0">0.05*H15</f>
        <v>8.8394999999999992</v>
      </c>
      <c r="T15" s="194">
        <f>N15-S15</f>
        <v>171.38050000000001</v>
      </c>
    </row>
    <row r="16" spans="2:21" s="121" customFormat="1" ht="16.5" customHeight="1" x14ac:dyDescent="0.2">
      <c r="B16" s="120"/>
      <c r="C16" s="56" t="s">
        <v>13</v>
      </c>
      <c r="D16" s="56" t="s">
        <v>96</v>
      </c>
      <c r="E16" s="57" t="s">
        <v>119</v>
      </c>
      <c r="F16" s="58" t="s">
        <v>120</v>
      </c>
      <c r="G16" s="59" t="s">
        <v>108</v>
      </c>
      <c r="H16" s="60">
        <v>172.39</v>
      </c>
      <c r="I16" s="61">
        <v>53.92</v>
      </c>
      <c r="J16" s="60">
        <v>9295.2999999999993</v>
      </c>
      <c r="K16" s="68">
        <f t="shared" ref="K16:K40" si="1">ROUND(163.8/160.8*Q16-Q16,2)</f>
        <v>3.34</v>
      </c>
      <c r="L16" s="69">
        <f t="shared" ref="L16:L78" si="2">I16</f>
        <v>53.92</v>
      </c>
      <c r="M16" s="273">
        <f t="shared" ref="M16:M78" si="3">K16*L16</f>
        <v>180.09280000000001</v>
      </c>
      <c r="N16" s="71">
        <f t="shared" ref="N16:N78" si="4">H16+K16</f>
        <v>175.73</v>
      </c>
      <c r="O16" s="72">
        <f t="shared" ref="O16:O78" si="5">I16</f>
        <v>53.92</v>
      </c>
      <c r="P16" s="274">
        <f t="shared" ref="P16:P78" si="6">N16*O16</f>
        <v>9475.3616000000002</v>
      </c>
      <c r="Q16" s="121">
        <f t="shared" ref="Q16:Q79" si="7">ROUND(160.8/154.7*H16,2)</f>
        <v>179.19</v>
      </c>
      <c r="S16" s="121">
        <f t="shared" si="0"/>
        <v>8.6195000000000004</v>
      </c>
      <c r="T16" s="194">
        <f t="shared" ref="T16:T37" si="8">N16-S16</f>
        <v>167.1105</v>
      </c>
    </row>
    <row r="17" spans="2:20" s="121" customFormat="1" ht="16.5" customHeight="1" x14ac:dyDescent="0.2">
      <c r="B17" s="120"/>
      <c r="C17" s="56" t="s">
        <v>100</v>
      </c>
      <c r="D17" s="56" t="s">
        <v>96</v>
      </c>
      <c r="E17" s="57" t="s">
        <v>125</v>
      </c>
      <c r="F17" s="58" t="s">
        <v>126</v>
      </c>
      <c r="G17" s="59" t="s">
        <v>108</v>
      </c>
      <c r="H17" s="60">
        <v>8.4</v>
      </c>
      <c r="I17" s="61">
        <v>55.24</v>
      </c>
      <c r="J17" s="60">
        <v>464</v>
      </c>
      <c r="K17" s="68">
        <f t="shared" si="1"/>
        <v>0.16</v>
      </c>
      <c r="L17" s="69">
        <f t="shared" si="2"/>
        <v>55.24</v>
      </c>
      <c r="M17" s="273">
        <f t="shared" si="3"/>
        <v>8.8384</v>
      </c>
      <c r="N17" s="71">
        <f t="shared" si="4"/>
        <v>8.56</v>
      </c>
      <c r="O17" s="72">
        <f t="shared" si="5"/>
        <v>55.24</v>
      </c>
      <c r="P17" s="274">
        <f t="shared" si="6"/>
        <v>472.85440000000006</v>
      </c>
      <c r="Q17" s="121">
        <f t="shared" si="7"/>
        <v>8.73</v>
      </c>
      <c r="S17" s="121">
        <f t="shared" si="0"/>
        <v>0.42000000000000004</v>
      </c>
      <c r="T17" s="194">
        <f t="shared" si="8"/>
        <v>8.14</v>
      </c>
    </row>
    <row r="18" spans="2:20" s="121" customFormat="1" ht="16.5" customHeight="1" x14ac:dyDescent="0.2">
      <c r="B18" s="120"/>
      <c r="C18" s="56" t="s">
        <v>105</v>
      </c>
      <c r="D18" s="56" t="s">
        <v>96</v>
      </c>
      <c r="E18" s="57" t="s">
        <v>128</v>
      </c>
      <c r="F18" s="58" t="s">
        <v>129</v>
      </c>
      <c r="G18" s="59" t="s">
        <v>108</v>
      </c>
      <c r="H18" s="60">
        <v>4.4000000000000004</v>
      </c>
      <c r="I18" s="61">
        <v>151.25</v>
      </c>
      <c r="J18" s="60">
        <v>665.5</v>
      </c>
      <c r="K18" s="68">
        <f t="shared" si="1"/>
        <v>0.09</v>
      </c>
      <c r="L18" s="69">
        <f t="shared" si="2"/>
        <v>151.25</v>
      </c>
      <c r="M18" s="273">
        <f t="shared" si="3"/>
        <v>13.612499999999999</v>
      </c>
      <c r="N18" s="71">
        <f t="shared" si="4"/>
        <v>4.49</v>
      </c>
      <c r="O18" s="72">
        <f t="shared" si="5"/>
        <v>151.25</v>
      </c>
      <c r="P18" s="274">
        <f t="shared" si="6"/>
        <v>679.11250000000007</v>
      </c>
      <c r="Q18" s="121">
        <f t="shared" si="7"/>
        <v>4.57</v>
      </c>
      <c r="S18" s="121">
        <f t="shared" si="0"/>
        <v>0.22000000000000003</v>
      </c>
      <c r="T18" s="194">
        <f t="shared" si="8"/>
        <v>4.2700000000000005</v>
      </c>
    </row>
    <row r="19" spans="2:20" s="121" customFormat="1" ht="16.5" customHeight="1" x14ac:dyDescent="0.2">
      <c r="B19" s="120"/>
      <c r="C19" s="56" t="s">
        <v>109</v>
      </c>
      <c r="D19" s="56" t="s">
        <v>96</v>
      </c>
      <c r="E19" s="57" t="s">
        <v>142</v>
      </c>
      <c r="F19" s="58" t="s">
        <v>143</v>
      </c>
      <c r="G19" s="59" t="s">
        <v>133</v>
      </c>
      <c r="H19" s="60">
        <v>4.4000000000000004</v>
      </c>
      <c r="I19" s="61">
        <v>170.98</v>
      </c>
      <c r="J19" s="60">
        <v>752.3</v>
      </c>
      <c r="K19" s="68">
        <f t="shared" si="1"/>
        <v>0.09</v>
      </c>
      <c r="L19" s="69">
        <f t="shared" si="2"/>
        <v>170.98</v>
      </c>
      <c r="M19" s="273">
        <f t="shared" si="3"/>
        <v>15.388199999999998</v>
      </c>
      <c r="N19" s="71">
        <f t="shared" si="4"/>
        <v>4.49</v>
      </c>
      <c r="O19" s="72">
        <f t="shared" si="5"/>
        <v>170.98</v>
      </c>
      <c r="P19" s="274">
        <f t="shared" si="6"/>
        <v>767.7002</v>
      </c>
      <c r="Q19" s="121">
        <f t="shared" si="7"/>
        <v>4.57</v>
      </c>
      <c r="S19" s="121">
        <f t="shared" si="0"/>
        <v>0.22000000000000003</v>
      </c>
      <c r="T19" s="194">
        <f t="shared" si="8"/>
        <v>4.2700000000000005</v>
      </c>
    </row>
    <row r="20" spans="2:20" s="121" customFormat="1" ht="16.5" customHeight="1" x14ac:dyDescent="0.2">
      <c r="B20" s="120"/>
      <c r="C20" s="56" t="s">
        <v>112</v>
      </c>
      <c r="D20" s="56" t="s">
        <v>96</v>
      </c>
      <c r="E20" s="57" t="s">
        <v>145</v>
      </c>
      <c r="F20" s="58" t="s">
        <v>146</v>
      </c>
      <c r="G20" s="59" t="s">
        <v>133</v>
      </c>
      <c r="H20" s="60">
        <v>7.7</v>
      </c>
      <c r="I20" s="61">
        <v>147.30000000000001</v>
      </c>
      <c r="J20" s="60">
        <v>1134.2</v>
      </c>
      <c r="K20" s="68">
        <f t="shared" si="1"/>
        <v>0.15</v>
      </c>
      <c r="L20" s="69">
        <f t="shared" si="2"/>
        <v>147.30000000000001</v>
      </c>
      <c r="M20" s="273">
        <f t="shared" si="3"/>
        <v>22.095000000000002</v>
      </c>
      <c r="N20" s="71">
        <f t="shared" si="4"/>
        <v>7.8500000000000005</v>
      </c>
      <c r="O20" s="72">
        <f t="shared" si="5"/>
        <v>147.30000000000001</v>
      </c>
      <c r="P20" s="274">
        <f t="shared" si="6"/>
        <v>1156.3050000000001</v>
      </c>
      <c r="Q20" s="121">
        <f t="shared" si="7"/>
        <v>8</v>
      </c>
      <c r="S20" s="121">
        <f t="shared" si="0"/>
        <v>0.38500000000000001</v>
      </c>
      <c r="T20" s="194">
        <f t="shared" si="8"/>
        <v>7.4650000000000007</v>
      </c>
    </row>
    <row r="21" spans="2:20" s="121" customFormat="1" ht="16.5" customHeight="1" x14ac:dyDescent="0.2">
      <c r="B21" s="120"/>
      <c r="C21" s="56" t="s">
        <v>115</v>
      </c>
      <c r="D21" s="56" t="s">
        <v>96</v>
      </c>
      <c r="E21" s="57" t="s">
        <v>155</v>
      </c>
      <c r="F21" s="58" t="s">
        <v>156</v>
      </c>
      <c r="G21" s="59" t="s">
        <v>150</v>
      </c>
      <c r="H21" s="60">
        <v>21.55</v>
      </c>
      <c r="I21" s="61">
        <v>257.77999999999997</v>
      </c>
      <c r="J21" s="60">
        <v>5555.2</v>
      </c>
      <c r="K21" s="68">
        <f t="shared" si="1"/>
        <v>0.42</v>
      </c>
      <c r="L21" s="69">
        <f t="shared" si="2"/>
        <v>257.77999999999997</v>
      </c>
      <c r="M21" s="273">
        <f t="shared" si="3"/>
        <v>108.26759999999999</v>
      </c>
      <c r="N21" s="71">
        <f t="shared" si="4"/>
        <v>21.970000000000002</v>
      </c>
      <c r="O21" s="72">
        <f t="shared" si="5"/>
        <v>257.77999999999997</v>
      </c>
      <c r="P21" s="274">
        <f t="shared" si="6"/>
        <v>5663.4265999999998</v>
      </c>
      <c r="Q21" s="121">
        <f t="shared" si="7"/>
        <v>22.4</v>
      </c>
      <c r="S21" s="121">
        <f t="shared" si="0"/>
        <v>1.0775000000000001</v>
      </c>
      <c r="T21" s="194">
        <f t="shared" si="8"/>
        <v>20.892500000000002</v>
      </c>
    </row>
    <row r="22" spans="2:20" s="121" customFormat="1" ht="16.5" customHeight="1" x14ac:dyDescent="0.2">
      <c r="B22" s="120"/>
      <c r="C22" s="56" t="s">
        <v>118</v>
      </c>
      <c r="D22" s="56" t="s">
        <v>96</v>
      </c>
      <c r="E22" s="57" t="s">
        <v>157</v>
      </c>
      <c r="F22" s="58" t="s">
        <v>158</v>
      </c>
      <c r="G22" s="59" t="s">
        <v>150</v>
      </c>
      <c r="H22" s="60">
        <v>162.01</v>
      </c>
      <c r="I22" s="61">
        <v>257.77999999999997</v>
      </c>
      <c r="J22" s="60">
        <v>41762.9</v>
      </c>
      <c r="K22" s="68">
        <f t="shared" si="1"/>
        <v>3.14</v>
      </c>
      <c r="L22" s="69">
        <f t="shared" si="2"/>
        <v>257.77999999999997</v>
      </c>
      <c r="M22" s="273">
        <f t="shared" si="3"/>
        <v>809.42919999999992</v>
      </c>
      <c r="N22" s="71">
        <f t="shared" si="4"/>
        <v>165.14999999999998</v>
      </c>
      <c r="O22" s="72">
        <f t="shared" si="5"/>
        <v>257.77999999999997</v>
      </c>
      <c r="P22" s="274">
        <f t="shared" si="6"/>
        <v>42572.366999999991</v>
      </c>
      <c r="Q22" s="121">
        <f t="shared" si="7"/>
        <v>168.4</v>
      </c>
      <c r="S22" s="121">
        <f t="shared" si="0"/>
        <v>8.1005000000000003</v>
      </c>
      <c r="T22" s="194">
        <f t="shared" si="8"/>
        <v>157.04949999999997</v>
      </c>
    </row>
    <row r="23" spans="2:20" s="121" customFormat="1" ht="16.5" customHeight="1" x14ac:dyDescent="0.2">
      <c r="B23" s="120"/>
      <c r="C23" s="56" t="s">
        <v>121</v>
      </c>
      <c r="D23" s="56" t="s">
        <v>96</v>
      </c>
      <c r="E23" s="57" t="s">
        <v>160</v>
      </c>
      <c r="F23" s="58" t="s">
        <v>161</v>
      </c>
      <c r="G23" s="59" t="s">
        <v>150</v>
      </c>
      <c r="H23" s="60">
        <v>48.6</v>
      </c>
      <c r="I23" s="61">
        <v>13.15</v>
      </c>
      <c r="J23" s="60">
        <v>639.1</v>
      </c>
      <c r="K23" s="68">
        <f t="shared" si="1"/>
        <v>0.94</v>
      </c>
      <c r="L23" s="69">
        <f t="shared" si="2"/>
        <v>13.15</v>
      </c>
      <c r="M23" s="273">
        <f t="shared" si="3"/>
        <v>12.360999999999999</v>
      </c>
      <c r="N23" s="71">
        <f t="shared" si="4"/>
        <v>49.54</v>
      </c>
      <c r="O23" s="72">
        <f t="shared" si="5"/>
        <v>13.15</v>
      </c>
      <c r="P23" s="274">
        <f t="shared" si="6"/>
        <v>651.45100000000002</v>
      </c>
      <c r="Q23" s="121">
        <f t="shared" si="7"/>
        <v>50.52</v>
      </c>
      <c r="S23" s="121">
        <f t="shared" si="0"/>
        <v>2.4300000000000002</v>
      </c>
      <c r="T23" s="194">
        <f t="shared" si="8"/>
        <v>47.11</v>
      </c>
    </row>
    <row r="24" spans="2:20" s="121" customFormat="1" ht="16.5" customHeight="1" x14ac:dyDescent="0.2">
      <c r="B24" s="120"/>
      <c r="C24" s="56" t="s">
        <v>124</v>
      </c>
      <c r="D24" s="56" t="s">
        <v>96</v>
      </c>
      <c r="E24" s="57" t="s">
        <v>163</v>
      </c>
      <c r="F24" s="58" t="s">
        <v>164</v>
      </c>
      <c r="G24" s="59" t="s">
        <v>150</v>
      </c>
      <c r="H24" s="60">
        <v>104.64</v>
      </c>
      <c r="I24" s="61">
        <v>315.64999999999998</v>
      </c>
      <c r="J24" s="60">
        <v>33029.599999999999</v>
      </c>
      <c r="K24" s="68">
        <f t="shared" si="1"/>
        <v>2.0299999999999998</v>
      </c>
      <c r="L24" s="69">
        <f t="shared" si="2"/>
        <v>315.64999999999998</v>
      </c>
      <c r="M24" s="273">
        <f t="shared" si="3"/>
        <v>640.76949999999988</v>
      </c>
      <c r="N24" s="71">
        <f t="shared" si="4"/>
        <v>106.67</v>
      </c>
      <c r="O24" s="72">
        <f t="shared" si="5"/>
        <v>315.64999999999998</v>
      </c>
      <c r="P24" s="274">
        <f t="shared" si="6"/>
        <v>33670.385499999997</v>
      </c>
      <c r="Q24" s="121">
        <f t="shared" si="7"/>
        <v>108.77</v>
      </c>
      <c r="S24" s="121">
        <f t="shared" si="0"/>
        <v>5.2320000000000002</v>
      </c>
      <c r="T24" s="194">
        <f t="shared" si="8"/>
        <v>101.438</v>
      </c>
    </row>
    <row r="25" spans="2:20" s="121" customFormat="1" ht="16.5" customHeight="1" x14ac:dyDescent="0.2">
      <c r="B25" s="120"/>
      <c r="C25" s="56" t="s">
        <v>127</v>
      </c>
      <c r="D25" s="56" t="s">
        <v>96</v>
      </c>
      <c r="E25" s="57" t="s">
        <v>166</v>
      </c>
      <c r="F25" s="58" t="s">
        <v>167</v>
      </c>
      <c r="G25" s="59" t="s">
        <v>150</v>
      </c>
      <c r="H25" s="60">
        <v>31.39</v>
      </c>
      <c r="I25" s="61">
        <v>15.78</v>
      </c>
      <c r="J25" s="60">
        <v>495.3</v>
      </c>
      <c r="K25" s="68">
        <f t="shared" si="1"/>
        <v>0.61</v>
      </c>
      <c r="L25" s="69">
        <f t="shared" si="2"/>
        <v>15.78</v>
      </c>
      <c r="M25" s="273">
        <f t="shared" si="3"/>
        <v>9.6257999999999999</v>
      </c>
      <c r="N25" s="71">
        <f t="shared" si="4"/>
        <v>32</v>
      </c>
      <c r="O25" s="72">
        <f t="shared" si="5"/>
        <v>15.78</v>
      </c>
      <c r="P25" s="274">
        <f t="shared" si="6"/>
        <v>504.96</v>
      </c>
      <c r="Q25" s="121">
        <f t="shared" si="7"/>
        <v>32.630000000000003</v>
      </c>
      <c r="S25" s="121">
        <f t="shared" si="0"/>
        <v>1.5695000000000001</v>
      </c>
      <c r="T25" s="194">
        <f t="shared" si="8"/>
        <v>30.430499999999999</v>
      </c>
    </row>
    <row r="26" spans="2:20" s="121" customFormat="1" ht="16.5" customHeight="1" x14ac:dyDescent="0.2">
      <c r="B26" s="120"/>
      <c r="C26" s="56" t="s">
        <v>130</v>
      </c>
      <c r="D26" s="56" t="s">
        <v>96</v>
      </c>
      <c r="E26" s="57" t="s">
        <v>169</v>
      </c>
      <c r="F26" s="58" t="s">
        <v>170</v>
      </c>
      <c r="G26" s="59" t="s">
        <v>150</v>
      </c>
      <c r="H26" s="60">
        <v>116.76</v>
      </c>
      <c r="I26" s="61">
        <v>837.79</v>
      </c>
      <c r="J26" s="60">
        <v>97820.4</v>
      </c>
      <c r="K26" s="68">
        <f t="shared" si="1"/>
        <v>2.2599999999999998</v>
      </c>
      <c r="L26" s="69">
        <f t="shared" si="2"/>
        <v>837.79</v>
      </c>
      <c r="M26" s="273">
        <f t="shared" si="3"/>
        <v>1893.4053999999996</v>
      </c>
      <c r="N26" s="71">
        <f t="shared" si="4"/>
        <v>119.02000000000001</v>
      </c>
      <c r="O26" s="72">
        <f t="shared" si="5"/>
        <v>837.79</v>
      </c>
      <c r="P26" s="274">
        <f t="shared" si="6"/>
        <v>99713.765800000008</v>
      </c>
      <c r="Q26" s="121">
        <f t="shared" si="7"/>
        <v>121.36</v>
      </c>
      <c r="S26" s="121">
        <f t="shared" si="0"/>
        <v>5.838000000000001</v>
      </c>
      <c r="T26" s="194">
        <f t="shared" si="8"/>
        <v>113.18200000000002</v>
      </c>
    </row>
    <row r="27" spans="2:20" s="121" customFormat="1" ht="16.5" customHeight="1" x14ac:dyDescent="0.2">
      <c r="B27" s="120"/>
      <c r="C27" s="56" t="s">
        <v>134</v>
      </c>
      <c r="D27" s="56" t="s">
        <v>96</v>
      </c>
      <c r="E27" s="57" t="s">
        <v>172</v>
      </c>
      <c r="F27" s="58" t="s">
        <v>173</v>
      </c>
      <c r="G27" s="59" t="s">
        <v>150</v>
      </c>
      <c r="H27" s="60">
        <v>20.6</v>
      </c>
      <c r="I27" s="61">
        <v>1116.6199999999999</v>
      </c>
      <c r="J27" s="60">
        <v>23002.400000000001</v>
      </c>
      <c r="K27" s="68">
        <f t="shared" si="1"/>
        <v>0.4</v>
      </c>
      <c r="L27" s="69">
        <f t="shared" si="2"/>
        <v>1116.6199999999999</v>
      </c>
      <c r="M27" s="273">
        <f t="shared" si="3"/>
        <v>446.64799999999997</v>
      </c>
      <c r="N27" s="71">
        <f t="shared" si="4"/>
        <v>21</v>
      </c>
      <c r="O27" s="72">
        <f t="shared" si="5"/>
        <v>1116.6199999999999</v>
      </c>
      <c r="P27" s="274">
        <f t="shared" si="6"/>
        <v>23449.019999999997</v>
      </c>
      <c r="Q27" s="121">
        <f t="shared" si="7"/>
        <v>21.41</v>
      </c>
      <c r="S27" s="121">
        <f t="shared" si="0"/>
        <v>1.03</v>
      </c>
      <c r="T27" s="194">
        <f t="shared" si="8"/>
        <v>19.97</v>
      </c>
    </row>
    <row r="28" spans="2:20" s="121" customFormat="1" ht="16.5" customHeight="1" x14ac:dyDescent="0.2">
      <c r="B28" s="120"/>
      <c r="C28" s="56" t="s">
        <v>2</v>
      </c>
      <c r="D28" s="56" t="s">
        <v>96</v>
      </c>
      <c r="E28" s="57" t="s">
        <v>175</v>
      </c>
      <c r="F28" s="58" t="s">
        <v>176</v>
      </c>
      <c r="G28" s="59" t="s">
        <v>108</v>
      </c>
      <c r="H28" s="60">
        <v>771.37</v>
      </c>
      <c r="I28" s="61">
        <v>99.96</v>
      </c>
      <c r="J28" s="60">
        <v>77106.100000000006</v>
      </c>
      <c r="K28" s="68">
        <f t="shared" si="1"/>
        <v>14.96</v>
      </c>
      <c r="L28" s="69">
        <f t="shared" si="2"/>
        <v>99.96</v>
      </c>
      <c r="M28" s="273">
        <f t="shared" si="3"/>
        <v>1495.4015999999999</v>
      </c>
      <c r="N28" s="71">
        <f t="shared" si="4"/>
        <v>786.33</v>
      </c>
      <c r="O28" s="72">
        <f t="shared" si="5"/>
        <v>99.96</v>
      </c>
      <c r="P28" s="274">
        <f t="shared" si="6"/>
        <v>78601.546799999996</v>
      </c>
      <c r="Q28" s="121">
        <f t="shared" si="7"/>
        <v>801.79</v>
      </c>
      <c r="S28" s="121">
        <f t="shared" si="0"/>
        <v>38.5685</v>
      </c>
      <c r="T28" s="194">
        <f t="shared" si="8"/>
        <v>747.76150000000007</v>
      </c>
    </row>
    <row r="29" spans="2:20" s="121" customFormat="1" ht="16.5" customHeight="1" x14ac:dyDescent="0.2">
      <c r="B29" s="120"/>
      <c r="C29" s="56" t="s">
        <v>141</v>
      </c>
      <c r="D29" s="56" t="s">
        <v>96</v>
      </c>
      <c r="E29" s="57" t="s">
        <v>181</v>
      </c>
      <c r="F29" s="58" t="s">
        <v>182</v>
      </c>
      <c r="G29" s="59" t="s">
        <v>108</v>
      </c>
      <c r="H29" s="60">
        <v>771.37</v>
      </c>
      <c r="I29" s="61">
        <v>149.94</v>
      </c>
      <c r="J29" s="60">
        <v>115659.2</v>
      </c>
      <c r="K29" s="68">
        <f t="shared" si="1"/>
        <v>14.96</v>
      </c>
      <c r="L29" s="69">
        <f t="shared" si="2"/>
        <v>149.94</v>
      </c>
      <c r="M29" s="273">
        <f t="shared" si="3"/>
        <v>2243.1024000000002</v>
      </c>
      <c r="N29" s="71">
        <f t="shared" si="4"/>
        <v>786.33</v>
      </c>
      <c r="O29" s="72">
        <f t="shared" si="5"/>
        <v>149.94</v>
      </c>
      <c r="P29" s="274">
        <f t="shared" si="6"/>
        <v>117902.3202</v>
      </c>
      <c r="Q29" s="121">
        <f t="shared" si="7"/>
        <v>801.79</v>
      </c>
      <c r="S29" s="121">
        <f t="shared" si="0"/>
        <v>38.5685</v>
      </c>
      <c r="T29" s="194">
        <f t="shared" si="8"/>
        <v>747.76150000000007</v>
      </c>
    </row>
    <row r="30" spans="2:20" s="121" customFormat="1" ht="16.5" customHeight="1" x14ac:dyDescent="0.2">
      <c r="B30" s="120"/>
      <c r="C30" s="56" t="s">
        <v>144</v>
      </c>
      <c r="D30" s="56" t="s">
        <v>96</v>
      </c>
      <c r="E30" s="57" t="s">
        <v>187</v>
      </c>
      <c r="F30" s="58" t="s">
        <v>188</v>
      </c>
      <c r="G30" s="59" t="s">
        <v>150</v>
      </c>
      <c r="H30" s="60">
        <v>669.31</v>
      </c>
      <c r="I30" s="61">
        <v>97.96</v>
      </c>
      <c r="J30" s="60">
        <v>65565.600000000006</v>
      </c>
      <c r="K30" s="68">
        <f t="shared" si="1"/>
        <v>12.98</v>
      </c>
      <c r="L30" s="69">
        <f t="shared" si="2"/>
        <v>97.96</v>
      </c>
      <c r="M30" s="273">
        <f t="shared" si="3"/>
        <v>1271.5208</v>
      </c>
      <c r="N30" s="71">
        <f t="shared" si="4"/>
        <v>682.29</v>
      </c>
      <c r="O30" s="72">
        <f t="shared" si="5"/>
        <v>97.96</v>
      </c>
      <c r="P30" s="274">
        <f t="shared" si="6"/>
        <v>66837.128399999987</v>
      </c>
      <c r="Q30" s="121">
        <f t="shared" si="7"/>
        <v>695.7</v>
      </c>
      <c r="S30" s="121">
        <f t="shared" si="0"/>
        <v>33.465499999999999</v>
      </c>
      <c r="T30" s="194">
        <f t="shared" si="8"/>
        <v>648.82449999999994</v>
      </c>
    </row>
    <row r="31" spans="2:20" s="121" customFormat="1" ht="16.5" customHeight="1" x14ac:dyDescent="0.2">
      <c r="B31" s="120"/>
      <c r="C31" s="56" t="s">
        <v>147</v>
      </c>
      <c r="D31" s="56" t="s">
        <v>96</v>
      </c>
      <c r="E31" s="57" t="s">
        <v>190</v>
      </c>
      <c r="F31" s="58" t="s">
        <v>191</v>
      </c>
      <c r="G31" s="59" t="s">
        <v>150</v>
      </c>
      <c r="H31" s="60">
        <v>137.80000000000001</v>
      </c>
      <c r="I31" s="61">
        <v>247.39</v>
      </c>
      <c r="J31" s="60">
        <v>34090.300000000003</v>
      </c>
      <c r="K31" s="68">
        <f t="shared" si="1"/>
        <v>2.67</v>
      </c>
      <c r="L31" s="69">
        <f t="shared" si="2"/>
        <v>247.39</v>
      </c>
      <c r="M31" s="273">
        <f t="shared" si="3"/>
        <v>660.53129999999999</v>
      </c>
      <c r="N31" s="71">
        <f t="shared" si="4"/>
        <v>140.47</v>
      </c>
      <c r="O31" s="72">
        <f t="shared" si="5"/>
        <v>247.39</v>
      </c>
      <c r="P31" s="274">
        <f t="shared" si="6"/>
        <v>34750.873299999999</v>
      </c>
      <c r="Q31" s="121">
        <f t="shared" si="7"/>
        <v>143.22999999999999</v>
      </c>
      <c r="S31" s="121">
        <f t="shared" si="0"/>
        <v>6.8900000000000006</v>
      </c>
      <c r="T31" s="194">
        <f t="shared" si="8"/>
        <v>133.57999999999998</v>
      </c>
    </row>
    <row r="32" spans="2:20" s="121" customFormat="1" ht="16.5" customHeight="1" x14ac:dyDescent="0.2">
      <c r="B32" s="120"/>
      <c r="C32" s="56" t="s">
        <v>151</v>
      </c>
      <c r="D32" s="56" t="s">
        <v>96</v>
      </c>
      <c r="E32" s="57" t="s">
        <v>193</v>
      </c>
      <c r="F32" s="58" t="s">
        <v>194</v>
      </c>
      <c r="G32" s="59" t="s">
        <v>150</v>
      </c>
      <c r="H32" s="60">
        <v>137.80000000000001</v>
      </c>
      <c r="I32" s="61">
        <v>44.72</v>
      </c>
      <c r="J32" s="60">
        <v>6162.4</v>
      </c>
      <c r="K32" s="68">
        <f t="shared" si="1"/>
        <v>2.67</v>
      </c>
      <c r="L32" s="69">
        <f t="shared" si="2"/>
        <v>44.72</v>
      </c>
      <c r="M32" s="273">
        <f t="shared" si="3"/>
        <v>119.4024</v>
      </c>
      <c r="N32" s="71">
        <f t="shared" si="4"/>
        <v>140.47</v>
      </c>
      <c r="O32" s="72">
        <f t="shared" si="5"/>
        <v>44.72</v>
      </c>
      <c r="P32" s="274">
        <f t="shared" si="6"/>
        <v>6281.8184000000001</v>
      </c>
      <c r="Q32" s="121">
        <f t="shared" si="7"/>
        <v>143.22999999999999</v>
      </c>
      <c r="S32" s="121">
        <f t="shared" si="0"/>
        <v>6.8900000000000006</v>
      </c>
      <c r="T32" s="194">
        <f t="shared" si="8"/>
        <v>133.57999999999998</v>
      </c>
    </row>
    <row r="33" spans="2:21" s="121" customFormat="1" ht="16.5" customHeight="1" x14ac:dyDescent="0.2">
      <c r="B33" s="120"/>
      <c r="C33" s="56" t="s">
        <v>154</v>
      </c>
      <c r="D33" s="56" t="s">
        <v>96</v>
      </c>
      <c r="E33" s="57" t="s">
        <v>196</v>
      </c>
      <c r="F33" s="58" t="s">
        <v>197</v>
      </c>
      <c r="G33" s="59" t="s">
        <v>150</v>
      </c>
      <c r="H33" s="60">
        <v>137.80000000000001</v>
      </c>
      <c r="I33" s="61">
        <v>11.84</v>
      </c>
      <c r="J33" s="60">
        <v>1631.6</v>
      </c>
      <c r="K33" s="68">
        <f t="shared" si="1"/>
        <v>2.67</v>
      </c>
      <c r="L33" s="69">
        <f t="shared" si="2"/>
        <v>11.84</v>
      </c>
      <c r="M33" s="273">
        <f t="shared" si="3"/>
        <v>31.6128</v>
      </c>
      <c r="N33" s="71">
        <f t="shared" si="4"/>
        <v>140.47</v>
      </c>
      <c r="O33" s="72">
        <f t="shared" si="5"/>
        <v>11.84</v>
      </c>
      <c r="P33" s="274">
        <f t="shared" si="6"/>
        <v>1663.1648</v>
      </c>
      <c r="Q33" s="121">
        <f t="shared" si="7"/>
        <v>143.22999999999999</v>
      </c>
      <c r="S33" s="121">
        <f t="shared" si="0"/>
        <v>6.8900000000000006</v>
      </c>
      <c r="T33" s="194">
        <f t="shared" si="8"/>
        <v>133.57999999999998</v>
      </c>
    </row>
    <row r="34" spans="2:21" s="121" customFormat="1" ht="16.5" customHeight="1" x14ac:dyDescent="0.2">
      <c r="B34" s="120"/>
      <c r="C34" s="56" t="s">
        <v>1</v>
      </c>
      <c r="D34" s="56" t="s">
        <v>96</v>
      </c>
      <c r="E34" s="57" t="s">
        <v>199</v>
      </c>
      <c r="F34" s="58" t="s">
        <v>200</v>
      </c>
      <c r="G34" s="59" t="s">
        <v>201</v>
      </c>
      <c r="H34" s="60">
        <v>275.60000000000002</v>
      </c>
      <c r="I34" s="61">
        <v>116</v>
      </c>
      <c r="J34" s="60">
        <v>31969.599999999999</v>
      </c>
      <c r="K34" s="68">
        <f t="shared" si="1"/>
        <v>5.34</v>
      </c>
      <c r="L34" s="69">
        <f t="shared" si="2"/>
        <v>116</v>
      </c>
      <c r="M34" s="273">
        <f t="shared" si="3"/>
        <v>619.43999999999994</v>
      </c>
      <c r="N34" s="71">
        <f t="shared" si="4"/>
        <v>280.94</v>
      </c>
      <c r="O34" s="72">
        <f t="shared" si="5"/>
        <v>116</v>
      </c>
      <c r="P34" s="274">
        <f t="shared" si="6"/>
        <v>32589.040000000001</v>
      </c>
      <c r="Q34" s="121">
        <f t="shared" si="7"/>
        <v>286.47000000000003</v>
      </c>
      <c r="S34" s="121">
        <f t="shared" si="0"/>
        <v>13.780000000000001</v>
      </c>
      <c r="T34" s="194">
        <f t="shared" si="8"/>
        <v>267.15999999999997</v>
      </c>
    </row>
    <row r="35" spans="2:21" s="121" customFormat="1" ht="16.5" customHeight="1" x14ac:dyDescent="0.2">
      <c r="B35" s="120"/>
      <c r="C35" s="56" t="s">
        <v>159</v>
      </c>
      <c r="D35" s="56" t="s">
        <v>96</v>
      </c>
      <c r="E35" s="57" t="s">
        <v>203</v>
      </c>
      <c r="F35" s="58" t="s">
        <v>204</v>
      </c>
      <c r="G35" s="59" t="s">
        <v>150</v>
      </c>
      <c r="H35" s="60">
        <v>265.3</v>
      </c>
      <c r="I35" s="61">
        <v>143.36000000000001</v>
      </c>
      <c r="J35" s="60">
        <v>38033.4</v>
      </c>
      <c r="K35" s="68">
        <f t="shared" si="1"/>
        <v>5.14</v>
      </c>
      <c r="L35" s="69">
        <f t="shared" si="2"/>
        <v>143.36000000000001</v>
      </c>
      <c r="M35" s="273">
        <f t="shared" si="3"/>
        <v>736.87040000000002</v>
      </c>
      <c r="N35" s="71">
        <f t="shared" si="4"/>
        <v>270.44</v>
      </c>
      <c r="O35" s="72">
        <f t="shared" si="5"/>
        <v>143.36000000000001</v>
      </c>
      <c r="P35" s="274">
        <f t="shared" si="6"/>
        <v>38770.278400000003</v>
      </c>
      <c r="Q35" s="121">
        <f t="shared" si="7"/>
        <v>275.76</v>
      </c>
      <c r="S35" s="121">
        <f t="shared" si="0"/>
        <v>13.265000000000001</v>
      </c>
      <c r="T35" s="194">
        <f t="shared" si="8"/>
        <v>257.17500000000001</v>
      </c>
    </row>
    <row r="36" spans="2:21" s="121" customFormat="1" ht="16.5" customHeight="1" x14ac:dyDescent="0.2">
      <c r="B36" s="120"/>
      <c r="C36" s="56" t="s">
        <v>162</v>
      </c>
      <c r="D36" s="56" t="s">
        <v>96</v>
      </c>
      <c r="E36" s="57" t="s">
        <v>206</v>
      </c>
      <c r="F36" s="58" t="s">
        <v>207</v>
      </c>
      <c r="G36" s="59" t="s">
        <v>150</v>
      </c>
      <c r="H36" s="60">
        <v>92.46</v>
      </c>
      <c r="I36" s="61">
        <v>318.27999999999997</v>
      </c>
      <c r="J36" s="60">
        <v>29428.2</v>
      </c>
      <c r="K36" s="68">
        <f t="shared" si="1"/>
        <v>1.79</v>
      </c>
      <c r="L36" s="69">
        <f t="shared" si="2"/>
        <v>318.27999999999997</v>
      </c>
      <c r="M36" s="273">
        <f t="shared" si="3"/>
        <v>569.72119999999995</v>
      </c>
      <c r="N36" s="71">
        <f t="shared" si="4"/>
        <v>94.25</v>
      </c>
      <c r="O36" s="72">
        <f t="shared" si="5"/>
        <v>318.27999999999997</v>
      </c>
      <c r="P36" s="274">
        <f t="shared" si="6"/>
        <v>29997.889999999996</v>
      </c>
      <c r="Q36" s="121">
        <f t="shared" si="7"/>
        <v>96.11</v>
      </c>
      <c r="S36" s="121">
        <f t="shared" si="0"/>
        <v>4.6230000000000002</v>
      </c>
      <c r="T36" s="194">
        <f t="shared" si="8"/>
        <v>89.626999999999995</v>
      </c>
    </row>
    <row r="37" spans="2:21" s="121" customFormat="1" ht="16.5" customHeight="1" x14ac:dyDescent="0.2">
      <c r="B37" s="120"/>
      <c r="C37" s="73" t="s">
        <v>165</v>
      </c>
      <c r="D37" s="73" t="s">
        <v>209</v>
      </c>
      <c r="E37" s="74" t="s">
        <v>210</v>
      </c>
      <c r="F37" s="75" t="s">
        <v>211</v>
      </c>
      <c r="G37" s="76" t="s">
        <v>201</v>
      </c>
      <c r="H37" s="77">
        <v>184.92</v>
      </c>
      <c r="I37" s="78">
        <v>172.71</v>
      </c>
      <c r="J37" s="77">
        <v>31937.5</v>
      </c>
      <c r="K37" s="68">
        <f t="shared" si="1"/>
        <v>3.59</v>
      </c>
      <c r="L37" s="69">
        <f t="shared" si="2"/>
        <v>172.71</v>
      </c>
      <c r="M37" s="273">
        <f t="shared" si="3"/>
        <v>620.02890000000002</v>
      </c>
      <c r="N37" s="71">
        <f t="shared" si="4"/>
        <v>188.51</v>
      </c>
      <c r="O37" s="72">
        <f t="shared" si="5"/>
        <v>172.71</v>
      </c>
      <c r="P37" s="274">
        <f t="shared" si="6"/>
        <v>32557.562099999999</v>
      </c>
      <c r="Q37" s="121">
        <f t="shared" si="7"/>
        <v>192.21</v>
      </c>
      <c r="S37" s="121">
        <f t="shared" si="0"/>
        <v>9.2460000000000004</v>
      </c>
      <c r="T37" s="194">
        <f t="shared" si="8"/>
        <v>179.26399999999998</v>
      </c>
    </row>
    <row r="38" spans="2:21" s="170" customFormat="1" ht="22.9" customHeight="1" x14ac:dyDescent="0.2">
      <c r="B38" s="165"/>
      <c r="C38" s="252"/>
      <c r="D38" s="253" t="s">
        <v>4</v>
      </c>
      <c r="E38" s="254" t="s">
        <v>13</v>
      </c>
      <c r="F38" s="254" t="s">
        <v>222</v>
      </c>
      <c r="G38" s="252"/>
      <c r="H38" s="252"/>
      <c r="I38" s="255"/>
      <c r="J38" s="256">
        <f>+SUBTOTAL(9,J39:J40)</f>
        <v>6104.4</v>
      </c>
      <c r="K38" s="261"/>
      <c r="L38" s="262"/>
      <c r="M38" s="279">
        <f>SUM(M39:M40)</f>
        <v>118.38000000000002</v>
      </c>
      <c r="N38" s="280"/>
      <c r="O38" s="262"/>
      <c r="P38" s="279">
        <f>SUM(P39:P40)</f>
        <v>6222.8420000000006</v>
      </c>
      <c r="Q38" s="121">
        <f t="shared" si="7"/>
        <v>0</v>
      </c>
    </row>
    <row r="39" spans="2:21" s="121" customFormat="1" ht="16.5" customHeight="1" x14ac:dyDescent="0.2">
      <c r="B39" s="120"/>
      <c r="C39" s="56" t="s">
        <v>168</v>
      </c>
      <c r="D39" s="56" t="s">
        <v>96</v>
      </c>
      <c r="E39" s="57" t="s">
        <v>224</v>
      </c>
      <c r="F39" s="58" t="s">
        <v>225</v>
      </c>
      <c r="G39" s="59" t="s">
        <v>133</v>
      </c>
      <c r="H39" s="60">
        <v>154.69999999999999</v>
      </c>
      <c r="I39" s="61">
        <v>32.880000000000003</v>
      </c>
      <c r="J39" s="60">
        <v>5086.5</v>
      </c>
      <c r="K39" s="68">
        <f t="shared" si="1"/>
        <v>3</v>
      </c>
      <c r="L39" s="69">
        <f t="shared" si="2"/>
        <v>32.880000000000003</v>
      </c>
      <c r="M39" s="273">
        <f t="shared" si="3"/>
        <v>98.640000000000015</v>
      </c>
      <c r="N39" s="71">
        <f t="shared" si="4"/>
        <v>157.69999999999999</v>
      </c>
      <c r="O39" s="72">
        <f t="shared" si="5"/>
        <v>32.880000000000003</v>
      </c>
      <c r="P39" s="274">
        <f t="shared" si="6"/>
        <v>5185.1760000000004</v>
      </c>
      <c r="Q39" s="121">
        <f t="shared" si="7"/>
        <v>160.80000000000001</v>
      </c>
    </row>
    <row r="40" spans="2:21" s="121" customFormat="1" ht="16.5" customHeight="1" x14ac:dyDescent="0.2">
      <c r="B40" s="120"/>
      <c r="C40" s="56" t="s">
        <v>171</v>
      </c>
      <c r="D40" s="56" t="s">
        <v>96</v>
      </c>
      <c r="E40" s="57" t="s">
        <v>227</v>
      </c>
      <c r="F40" s="58" t="s">
        <v>228</v>
      </c>
      <c r="G40" s="59" t="s">
        <v>133</v>
      </c>
      <c r="H40" s="60">
        <v>154.69999999999999</v>
      </c>
      <c r="I40" s="61">
        <v>6.58</v>
      </c>
      <c r="J40" s="60">
        <v>1017.9</v>
      </c>
      <c r="K40" s="68">
        <f t="shared" si="1"/>
        <v>3</v>
      </c>
      <c r="L40" s="69">
        <f t="shared" si="2"/>
        <v>6.58</v>
      </c>
      <c r="M40" s="273">
        <f t="shared" si="3"/>
        <v>19.740000000000002</v>
      </c>
      <c r="N40" s="71">
        <f t="shared" si="4"/>
        <v>157.69999999999999</v>
      </c>
      <c r="O40" s="72">
        <f t="shared" si="5"/>
        <v>6.58</v>
      </c>
      <c r="P40" s="274">
        <f t="shared" si="6"/>
        <v>1037.6659999999999</v>
      </c>
      <c r="Q40" s="121">
        <f t="shared" si="7"/>
        <v>160.80000000000001</v>
      </c>
    </row>
    <row r="41" spans="2:21" s="170" customFormat="1" ht="22.9" customHeight="1" x14ac:dyDescent="0.2">
      <c r="B41" s="165"/>
      <c r="C41" s="252"/>
      <c r="D41" s="253" t="s">
        <v>4</v>
      </c>
      <c r="E41" s="254" t="s">
        <v>100</v>
      </c>
      <c r="F41" s="254" t="s">
        <v>229</v>
      </c>
      <c r="G41" s="252"/>
      <c r="H41" s="252"/>
      <c r="I41" s="255"/>
      <c r="J41" s="256">
        <f>+SUBTOTAL(9,J42:J47)</f>
        <v>75176.799999999988</v>
      </c>
      <c r="K41" s="261"/>
      <c r="L41" s="262"/>
      <c r="M41" s="279">
        <f>SUM(M42:M47)</f>
        <v>1423.1892</v>
      </c>
      <c r="N41" s="280"/>
      <c r="O41" s="262"/>
      <c r="P41" s="279">
        <f>SUM(P42:P47)</f>
        <v>76600.109000000011</v>
      </c>
      <c r="Q41" s="121">
        <f t="shared" si="7"/>
        <v>0</v>
      </c>
    </row>
    <row r="42" spans="2:21" s="121" customFormat="1" ht="16.5" customHeight="1" x14ac:dyDescent="0.2">
      <c r="B42" s="120"/>
      <c r="C42" s="56" t="s">
        <v>174</v>
      </c>
      <c r="D42" s="56" t="s">
        <v>96</v>
      </c>
      <c r="E42" s="57" t="s">
        <v>231</v>
      </c>
      <c r="F42" s="58" t="s">
        <v>232</v>
      </c>
      <c r="G42" s="59" t="s">
        <v>99</v>
      </c>
      <c r="H42" s="60">
        <v>2</v>
      </c>
      <c r="I42" s="61">
        <v>122.32</v>
      </c>
      <c r="J42" s="60">
        <v>244.6</v>
      </c>
      <c r="K42" s="68">
        <v>0</v>
      </c>
      <c r="L42" s="69">
        <f t="shared" si="2"/>
        <v>122.32</v>
      </c>
      <c r="M42" s="273">
        <f t="shared" si="3"/>
        <v>0</v>
      </c>
      <c r="N42" s="71">
        <f t="shared" si="4"/>
        <v>2</v>
      </c>
      <c r="O42" s="72">
        <f t="shared" si="5"/>
        <v>122.32</v>
      </c>
      <c r="P42" s="274">
        <f t="shared" si="6"/>
        <v>244.64</v>
      </c>
      <c r="Q42" s="121">
        <f t="shared" si="7"/>
        <v>2.08</v>
      </c>
    </row>
    <row r="43" spans="2:21" s="121" customFormat="1" ht="16.5" customHeight="1" x14ac:dyDescent="0.2">
      <c r="B43" s="120"/>
      <c r="C43" s="73" t="s">
        <v>177</v>
      </c>
      <c r="D43" s="73" t="s">
        <v>209</v>
      </c>
      <c r="E43" s="74" t="s">
        <v>243</v>
      </c>
      <c r="F43" s="75" t="s">
        <v>244</v>
      </c>
      <c r="G43" s="76" t="s">
        <v>99</v>
      </c>
      <c r="H43" s="77">
        <v>2</v>
      </c>
      <c r="I43" s="78">
        <v>220.96</v>
      </c>
      <c r="J43" s="77">
        <v>441.9</v>
      </c>
      <c r="K43" s="68">
        <v>0</v>
      </c>
      <c r="L43" s="69">
        <f t="shared" si="2"/>
        <v>220.96</v>
      </c>
      <c r="M43" s="273">
        <f t="shared" si="3"/>
        <v>0</v>
      </c>
      <c r="N43" s="71">
        <f t="shared" si="4"/>
        <v>2</v>
      </c>
      <c r="O43" s="72">
        <f t="shared" si="5"/>
        <v>220.96</v>
      </c>
      <c r="P43" s="274">
        <f t="shared" si="6"/>
        <v>441.92</v>
      </c>
      <c r="Q43" s="121">
        <f t="shared" si="7"/>
        <v>2.08</v>
      </c>
    </row>
    <row r="44" spans="2:21" s="121" customFormat="1" ht="16.5" customHeight="1" x14ac:dyDescent="0.2">
      <c r="B44" s="120"/>
      <c r="C44" s="56" t="s">
        <v>180</v>
      </c>
      <c r="D44" s="56" t="s">
        <v>96</v>
      </c>
      <c r="E44" s="57" t="s">
        <v>246</v>
      </c>
      <c r="F44" s="58" t="s">
        <v>247</v>
      </c>
      <c r="G44" s="59" t="s">
        <v>99</v>
      </c>
      <c r="H44" s="60">
        <v>2</v>
      </c>
      <c r="I44" s="61">
        <v>152.57</v>
      </c>
      <c r="J44" s="60">
        <v>305.10000000000002</v>
      </c>
      <c r="K44" s="68">
        <v>0</v>
      </c>
      <c r="L44" s="69">
        <f t="shared" si="2"/>
        <v>152.57</v>
      </c>
      <c r="M44" s="273">
        <f t="shared" si="3"/>
        <v>0</v>
      </c>
      <c r="N44" s="71">
        <f t="shared" si="4"/>
        <v>2</v>
      </c>
      <c r="O44" s="72">
        <f t="shared" si="5"/>
        <v>152.57</v>
      </c>
      <c r="P44" s="274">
        <f t="shared" si="6"/>
        <v>305.14</v>
      </c>
      <c r="Q44" s="121">
        <f t="shared" si="7"/>
        <v>2.08</v>
      </c>
    </row>
    <row r="45" spans="2:21" s="121" customFormat="1" ht="16.5" customHeight="1" x14ac:dyDescent="0.2">
      <c r="B45" s="120"/>
      <c r="C45" s="73" t="s">
        <v>183</v>
      </c>
      <c r="D45" s="73" t="s">
        <v>209</v>
      </c>
      <c r="E45" s="74" t="s">
        <v>249</v>
      </c>
      <c r="F45" s="75" t="s">
        <v>250</v>
      </c>
      <c r="G45" s="76" t="s">
        <v>99</v>
      </c>
      <c r="H45" s="77">
        <v>2</v>
      </c>
      <c r="I45" s="78">
        <v>395.88</v>
      </c>
      <c r="J45" s="77">
        <v>791.8</v>
      </c>
      <c r="K45" s="68">
        <v>0</v>
      </c>
      <c r="L45" s="69">
        <f t="shared" si="2"/>
        <v>395.88</v>
      </c>
      <c r="M45" s="273">
        <f t="shared" si="3"/>
        <v>0</v>
      </c>
      <c r="N45" s="71">
        <f t="shared" si="4"/>
        <v>2</v>
      </c>
      <c r="O45" s="72">
        <f t="shared" si="5"/>
        <v>395.88</v>
      </c>
      <c r="P45" s="274">
        <f t="shared" si="6"/>
        <v>791.76</v>
      </c>
      <c r="Q45" s="121">
        <f t="shared" si="7"/>
        <v>2.08</v>
      </c>
    </row>
    <row r="46" spans="2:21" s="121" customFormat="1" ht="16.5" customHeight="1" x14ac:dyDescent="0.2">
      <c r="B46" s="120"/>
      <c r="C46" s="56" t="s">
        <v>186</v>
      </c>
      <c r="D46" s="56" t="s">
        <v>96</v>
      </c>
      <c r="E46" s="57" t="s">
        <v>252</v>
      </c>
      <c r="F46" s="58" t="s">
        <v>253</v>
      </c>
      <c r="G46" s="59" t="s">
        <v>150</v>
      </c>
      <c r="H46" s="60">
        <v>20.67</v>
      </c>
      <c r="I46" s="61">
        <v>3239.16</v>
      </c>
      <c r="J46" s="60">
        <v>66953.399999999994</v>
      </c>
      <c r="K46" s="68">
        <f t="shared" ref="K46:K47" si="9">ROUND(163.8/160.8*Q46-Q46,2)</f>
        <v>0.4</v>
      </c>
      <c r="L46" s="69">
        <f t="shared" si="2"/>
        <v>3239.16</v>
      </c>
      <c r="M46" s="273">
        <f t="shared" si="3"/>
        <v>1295.664</v>
      </c>
      <c r="N46" s="71">
        <f t="shared" si="4"/>
        <v>21.07</v>
      </c>
      <c r="O46" s="72">
        <f t="shared" si="5"/>
        <v>3239.16</v>
      </c>
      <c r="P46" s="274">
        <f t="shared" si="6"/>
        <v>68249.101200000005</v>
      </c>
      <c r="Q46" s="121">
        <f t="shared" si="7"/>
        <v>21.49</v>
      </c>
    </row>
    <row r="47" spans="2:21" s="121" customFormat="1" ht="45" x14ac:dyDescent="0.2">
      <c r="B47" s="120"/>
      <c r="C47" s="56" t="s">
        <v>189</v>
      </c>
      <c r="D47" s="56" t="s">
        <v>96</v>
      </c>
      <c r="E47" s="57" t="s">
        <v>255</v>
      </c>
      <c r="F47" s="58" t="s">
        <v>256</v>
      </c>
      <c r="G47" s="59" t="s">
        <v>150</v>
      </c>
      <c r="H47" s="60">
        <v>2.02</v>
      </c>
      <c r="I47" s="61">
        <v>3188.13</v>
      </c>
      <c r="J47" s="60">
        <v>6440</v>
      </c>
      <c r="K47" s="68">
        <f t="shared" si="9"/>
        <v>0.04</v>
      </c>
      <c r="L47" s="69">
        <f t="shared" si="2"/>
        <v>3188.13</v>
      </c>
      <c r="M47" s="273">
        <f t="shared" si="3"/>
        <v>127.52520000000001</v>
      </c>
      <c r="N47" s="71">
        <f t="shared" si="4"/>
        <v>2.06</v>
      </c>
      <c r="O47" s="72">
        <f t="shared" si="5"/>
        <v>3188.13</v>
      </c>
      <c r="P47" s="274">
        <f t="shared" si="6"/>
        <v>6567.5478000000003</v>
      </c>
      <c r="Q47" s="121">
        <f t="shared" si="7"/>
        <v>2.1</v>
      </c>
      <c r="R47" s="190" t="s">
        <v>962</v>
      </c>
      <c r="S47" s="121" t="s">
        <v>974</v>
      </c>
      <c r="U47" s="186" t="s">
        <v>981</v>
      </c>
    </row>
    <row r="48" spans="2:21" s="170" customFormat="1" ht="22.9" customHeight="1" x14ac:dyDescent="0.2">
      <c r="B48" s="165"/>
      <c r="C48" s="252"/>
      <c r="D48" s="253" t="s">
        <v>4</v>
      </c>
      <c r="E48" s="254" t="s">
        <v>105</v>
      </c>
      <c r="F48" s="254" t="s">
        <v>257</v>
      </c>
      <c r="G48" s="252"/>
      <c r="H48" s="252"/>
      <c r="I48" s="255"/>
      <c r="J48" s="256">
        <f>+SUBTOTAL(9,J49:J54)</f>
        <v>74403.399999999994</v>
      </c>
      <c r="K48" s="261"/>
      <c r="L48" s="262"/>
      <c r="M48" s="279">
        <f>SUM(M49:M54)</f>
        <v>0</v>
      </c>
      <c r="N48" s="280"/>
      <c r="O48" s="262"/>
      <c r="P48" s="279">
        <f>SUM(P49:P54)</f>
        <v>74403.455000000002</v>
      </c>
      <c r="Q48" s="121">
        <f t="shared" si="7"/>
        <v>0</v>
      </c>
    </row>
    <row r="49" spans="2:20" s="121" customFormat="1" ht="16.5" customHeight="1" x14ac:dyDescent="0.2">
      <c r="B49" s="120"/>
      <c r="C49" s="56" t="s">
        <v>192</v>
      </c>
      <c r="D49" s="56" t="s">
        <v>96</v>
      </c>
      <c r="E49" s="57" t="s">
        <v>262</v>
      </c>
      <c r="F49" s="58" t="s">
        <v>263</v>
      </c>
      <c r="G49" s="59" t="s">
        <v>108</v>
      </c>
      <c r="H49" s="60">
        <v>176.79</v>
      </c>
      <c r="I49" s="61">
        <v>302.54000000000002</v>
      </c>
      <c r="J49" s="60">
        <v>53486</v>
      </c>
      <c r="K49" s="68">
        <v>0</v>
      </c>
      <c r="L49" s="69">
        <f t="shared" si="2"/>
        <v>302.54000000000002</v>
      </c>
      <c r="M49" s="273">
        <f t="shared" si="3"/>
        <v>0</v>
      </c>
      <c r="N49" s="71">
        <f t="shared" si="4"/>
        <v>176.79</v>
      </c>
      <c r="O49" s="72">
        <f t="shared" si="5"/>
        <v>302.54000000000002</v>
      </c>
      <c r="P49" s="274">
        <f t="shared" si="6"/>
        <v>53486.046600000001</v>
      </c>
      <c r="Q49" s="121">
        <f t="shared" si="7"/>
        <v>183.76</v>
      </c>
    </row>
    <row r="50" spans="2:20" s="121" customFormat="1" ht="16.5" customHeight="1" x14ac:dyDescent="0.2">
      <c r="B50" s="120"/>
      <c r="C50" s="56" t="s">
        <v>195</v>
      </c>
      <c r="D50" s="56" t="s">
        <v>96</v>
      </c>
      <c r="E50" s="57" t="s">
        <v>265</v>
      </c>
      <c r="F50" s="58" t="s">
        <v>266</v>
      </c>
      <c r="G50" s="59" t="s">
        <v>108</v>
      </c>
      <c r="H50" s="60">
        <v>172.39</v>
      </c>
      <c r="I50" s="61">
        <v>86.36</v>
      </c>
      <c r="J50" s="60">
        <v>14887.6</v>
      </c>
      <c r="K50" s="68">
        <v>0</v>
      </c>
      <c r="L50" s="69">
        <f t="shared" si="2"/>
        <v>86.36</v>
      </c>
      <c r="M50" s="273">
        <f t="shared" si="3"/>
        <v>0</v>
      </c>
      <c r="N50" s="71">
        <f t="shared" si="4"/>
        <v>172.39</v>
      </c>
      <c r="O50" s="72">
        <f t="shared" si="5"/>
        <v>86.36</v>
      </c>
      <c r="P50" s="274">
        <f t="shared" si="6"/>
        <v>14887.600399999999</v>
      </c>
      <c r="Q50" s="121">
        <f t="shared" si="7"/>
        <v>179.19</v>
      </c>
    </row>
    <row r="51" spans="2:20" s="121" customFormat="1" ht="16.5" customHeight="1" x14ac:dyDescent="0.2">
      <c r="B51" s="120"/>
      <c r="C51" s="56" t="s">
        <v>198</v>
      </c>
      <c r="D51" s="56" t="s">
        <v>96</v>
      </c>
      <c r="E51" s="57" t="s">
        <v>268</v>
      </c>
      <c r="F51" s="58" t="s">
        <v>269</v>
      </c>
      <c r="G51" s="59" t="s">
        <v>108</v>
      </c>
      <c r="H51" s="60">
        <v>4.4000000000000004</v>
      </c>
      <c r="I51" s="61">
        <v>14.18</v>
      </c>
      <c r="J51" s="60">
        <v>62.4</v>
      </c>
      <c r="K51" s="68">
        <v>0</v>
      </c>
      <c r="L51" s="69">
        <f t="shared" si="2"/>
        <v>14.18</v>
      </c>
      <c r="M51" s="273">
        <f t="shared" si="3"/>
        <v>0</v>
      </c>
      <c r="N51" s="71">
        <f t="shared" si="4"/>
        <v>4.4000000000000004</v>
      </c>
      <c r="O51" s="72">
        <f t="shared" si="5"/>
        <v>14.18</v>
      </c>
      <c r="P51" s="274">
        <f t="shared" si="6"/>
        <v>62.392000000000003</v>
      </c>
      <c r="Q51" s="121">
        <f t="shared" si="7"/>
        <v>4.57</v>
      </c>
    </row>
    <row r="52" spans="2:20" s="121" customFormat="1" ht="16.5" customHeight="1" x14ac:dyDescent="0.2">
      <c r="B52" s="120"/>
      <c r="C52" s="56" t="s">
        <v>202</v>
      </c>
      <c r="D52" s="56" t="s">
        <v>96</v>
      </c>
      <c r="E52" s="57" t="s">
        <v>271</v>
      </c>
      <c r="F52" s="58" t="s">
        <v>272</v>
      </c>
      <c r="G52" s="59" t="s">
        <v>108</v>
      </c>
      <c r="H52" s="60">
        <v>8.4</v>
      </c>
      <c r="I52" s="61">
        <v>20.62</v>
      </c>
      <c r="J52" s="60">
        <v>173.2</v>
      </c>
      <c r="K52" s="68">
        <v>0</v>
      </c>
      <c r="L52" s="69">
        <f t="shared" si="2"/>
        <v>20.62</v>
      </c>
      <c r="M52" s="273">
        <f t="shared" si="3"/>
        <v>0</v>
      </c>
      <c r="N52" s="71">
        <f t="shared" si="4"/>
        <v>8.4</v>
      </c>
      <c r="O52" s="72">
        <f t="shared" si="5"/>
        <v>20.62</v>
      </c>
      <c r="P52" s="274">
        <f t="shared" si="6"/>
        <v>173.20800000000003</v>
      </c>
      <c r="Q52" s="121">
        <f t="shared" si="7"/>
        <v>8.73</v>
      </c>
    </row>
    <row r="53" spans="2:20" s="121" customFormat="1" ht="16.5" customHeight="1" x14ac:dyDescent="0.2">
      <c r="B53" s="120"/>
      <c r="C53" s="56" t="s">
        <v>205</v>
      </c>
      <c r="D53" s="56" t="s">
        <v>96</v>
      </c>
      <c r="E53" s="57" t="s">
        <v>274</v>
      </c>
      <c r="F53" s="58" t="s">
        <v>275</v>
      </c>
      <c r="G53" s="59" t="s">
        <v>108</v>
      </c>
      <c r="H53" s="60">
        <v>8.4</v>
      </c>
      <c r="I53" s="61">
        <v>396.71</v>
      </c>
      <c r="J53" s="60">
        <v>3332.4</v>
      </c>
      <c r="K53" s="68">
        <v>0</v>
      </c>
      <c r="L53" s="69">
        <f t="shared" si="2"/>
        <v>396.71</v>
      </c>
      <c r="M53" s="273">
        <f t="shared" si="3"/>
        <v>0</v>
      </c>
      <c r="N53" s="71">
        <f t="shared" si="4"/>
        <v>8.4</v>
      </c>
      <c r="O53" s="72">
        <f t="shared" si="5"/>
        <v>396.71</v>
      </c>
      <c r="P53" s="274">
        <f t="shared" si="6"/>
        <v>3332.364</v>
      </c>
      <c r="Q53" s="121">
        <f t="shared" si="7"/>
        <v>8.73</v>
      </c>
    </row>
    <row r="54" spans="2:20" s="121" customFormat="1" ht="16.5" customHeight="1" x14ac:dyDescent="0.2">
      <c r="B54" s="120"/>
      <c r="C54" s="56" t="s">
        <v>208</v>
      </c>
      <c r="D54" s="56" t="s">
        <v>96</v>
      </c>
      <c r="E54" s="57" t="s">
        <v>277</v>
      </c>
      <c r="F54" s="58" t="s">
        <v>278</v>
      </c>
      <c r="G54" s="59" t="s">
        <v>108</v>
      </c>
      <c r="H54" s="60">
        <v>4.4000000000000004</v>
      </c>
      <c r="I54" s="61">
        <v>559.51</v>
      </c>
      <c r="J54" s="60">
        <v>2461.8000000000002</v>
      </c>
      <c r="K54" s="68">
        <v>0</v>
      </c>
      <c r="L54" s="69">
        <f t="shared" si="2"/>
        <v>559.51</v>
      </c>
      <c r="M54" s="273">
        <f t="shared" si="3"/>
        <v>0</v>
      </c>
      <c r="N54" s="71">
        <f t="shared" si="4"/>
        <v>4.4000000000000004</v>
      </c>
      <c r="O54" s="72">
        <f t="shared" si="5"/>
        <v>559.51</v>
      </c>
      <c r="P54" s="274">
        <f t="shared" si="6"/>
        <v>2461.8440000000001</v>
      </c>
      <c r="Q54" s="121">
        <f t="shared" si="7"/>
        <v>4.57</v>
      </c>
    </row>
    <row r="55" spans="2:20" s="170" customFormat="1" ht="22.9" customHeight="1" x14ac:dyDescent="0.2">
      <c r="B55" s="165"/>
      <c r="C55" s="252"/>
      <c r="D55" s="253" t="s">
        <v>4</v>
      </c>
      <c r="E55" s="254" t="s">
        <v>115</v>
      </c>
      <c r="F55" s="254" t="s">
        <v>288</v>
      </c>
      <c r="G55" s="252"/>
      <c r="H55" s="252"/>
      <c r="I55" s="255"/>
      <c r="J55" s="256">
        <f>+SUBTOTAL(9,J56:J75)</f>
        <v>434547.79999999993</v>
      </c>
      <c r="K55" s="261"/>
      <c r="L55" s="262"/>
      <c r="M55" s="279">
        <f>SUM(M56:M75)</f>
        <v>5033.1000000000004</v>
      </c>
      <c r="N55" s="280"/>
      <c r="O55" s="262"/>
      <c r="P55" s="279">
        <f>SUM(P56:P75)</f>
        <v>439580.74329999991</v>
      </c>
      <c r="Q55" s="121">
        <f t="shared" si="7"/>
        <v>0</v>
      </c>
    </row>
    <row r="56" spans="2:20" s="121" customFormat="1" ht="16.5" customHeight="1" x14ac:dyDescent="0.2">
      <c r="B56" s="120"/>
      <c r="C56" s="56" t="s">
        <v>212</v>
      </c>
      <c r="D56" s="56" t="s">
        <v>96</v>
      </c>
      <c r="E56" s="57" t="s">
        <v>296</v>
      </c>
      <c r="F56" s="58" t="s">
        <v>297</v>
      </c>
      <c r="G56" s="59" t="s">
        <v>133</v>
      </c>
      <c r="H56" s="60">
        <v>154.69999999999999</v>
      </c>
      <c r="I56" s="61">
        <v>552.39</v>
      </c>
      <c r="J56" s="60">
        <v>85454.7</v>
      </c>
      <c r="K56" s="68">
        <f t="shared" ref="K56:K57" si="10">ROUND(163.8/160.8*Q56-Q56,2)</f>
        <v>3</v>
      </c>
      <c r="L56" s="69">
        <f t="shared" si="2"/>
        <v>552.39</v>
      </c>
      <c r="M56" s="273">
        <f t="shared" si="3"/>
        <v>1657.17</v>
      </c>
      <c r="N56" s="71">
        <f t="shared" si="4"/>
        <v>157.69999999999999</v>
      </c>
      <c r="O56" s="72">
        <f t="shared" si="5"/>
        <v>552.39</v>
      </c>
      <c r="P56" s="274">
        <f t="shared" si="6"/>
        <v>87111.902999999991</v>
      </c>
      <c r="Q56" s="121">
        <f t="shared" si="7"/>
        <v>160.80000000000001</v>
      </c>
      <c r="S56" s="121">
        <f t="shared" ref="S56:S75" si="11">0.05*H56</f>
        <v>7.7349999999999994</v>
      </c>
      <c r="T56" s="194">
        <f t="shared" ref="T56:T75" si="12">N56-S56</f>
        <v>149.96499999999997</v>
      </c>
    </row>
    <row r="57" spans="2:20" s="121" customFormat="1" ht="16.5" customHeight="1" x14ac:dyDescent="0.2">
      <c r="B57" s="120"/>
      <c r="C57" s="73" t="s">
        <v>215</v>
      </c>
      <c r="D57" s="73" t="s">
        <v>209</v>
      </c>
      <c r="E57" s="74" t="s">
        <v>299</v>
      </c>
      <c r="F57" s="75" t="s">
        <v>300</v>
      </c>
      <c r="G57" s="76" t="s">
        <v>133</v>
      </c>
      <c r="H57" s="77">
        <v>154.69999999999999</v>
      </c>
      <c r="I57" s="78">
        <v>1060.07</v>
      </c>
      <c r="J57" s="77">
        <v>163992.79999999999</v>
      </c>
      <c r="K57" s="68">
        <f t="shared" si="10"/>
        <v>3</v>
      </c>
      <c r="L57" s="69">
        <f t="shared" si="2"/>
        <v>1060.07</v>
      </c>
      <c r="M57" s="273">
        <f t="shared" si="3"/>
        <v>3180.21</v>
      </c>
      <c r="N57" s="71">
        <f t="shared" si="4"/>
        <v>157.69999999999999</v>
      </c>
      <c r="O57" s="72">
        <f t="shared" si="5"/>
        <v>1060.07</v>
      </c>
      <c r="P57" s="274">
        <f t="shared" si="6"/>
        <v>167173.03899999999</v>
      </c>
      <c r="Q57" s="121">
        <f t="shared" si="7"/>
        <v>160.80000000000001</v>
      </c>
      <c r="S57" s="121">
        <f t="shared" si="11"/>
        <v>7.7349999999999994</v>
      </c>
      <c r="T57" s="194">
        <f t="shared" si="12"/>
        <v>149.96499999999997</v>
      </c>
    </row>
    <row r="58" spans="2:20" s="121" customFormat="1" ht="16.5" customHeight="1" x14ac:dyDescent="0.2">
      <c r="B58" s="120"/>
      <c r="C58" s="73" t="s">
        <v>219</v>
      </c>
      <c r="D58" s="73" t="s">
        <v>209</v>
      </c>
      <c r="E58" s="74" t="s">
        <v>302</v>
      </c>
      <c r="F58" s="75" t="s">
        <v>303</v>
      </c>
      <c r="G58" s="76" t="s">
        <v>99</v>
      </c>
      <c r="H58" s="77">
        <v>7</v>
      </c>
      <c r="I58" s="78">
        <v>739.15</v>
      </c>
      <c r="J58" s="77">
        <v>5174.1000000000004</v>
      </c>
      <c r="K58" s="68">
        <v>0</v>
      </c>
      <c r="L58" s="69">
        <f t="shared" si="2"/>
        <v>739.15</v>
      </c>
      <c r="M58" s="273">
        <f t="shared" si="3"/>
        <v>0</v>
      </c>
      <c r="N58" s="71">
        <f t="shared" si="4"/>
        <v>7</v>
      </c>
      <c r="O58" s="72">
        <f t="shared" si="5"/>
        <v>739.15</v>
      </c>
      <c r="P58" s="274">
        <f t="shared" si="6"/>
        <v>5174.05</v>
      </c>
      <c r="Q58" s="121">
        <f t="shared" si="7"/>
        <v>7.28</v>
      </c>
      <c r="S58" s="121">
        <f t="shared" si="11"/>
        <v>0.35000000000000003</v>
      </c>
      <c r="T58" s="194">
        <f t="shared" si="12"/>
        <v>6.65</v>
      </c>
    </row>
    <row r="59" spans="2:20" s="121" customFormat="1" ht="16.5" customHeight="1" x14ac:dyDescent="0.2">
      <c r="B59" s="120"/>
      <c r="C59" s="56" t="s">
        <v>223</v>
      </c>
      <c r="D59" s="56" t="s">
        <v>96</v>
      </c>
      <c r="E59" s="57" t="s">
        <v>320</v>
      </c>
      <c r="F59" s="58" t="s">
        <v>321</v>
      </c>
      <c r="G59" s="59" t="s">
        <v>99</v>
      </c>
      <c r="H59" s="60">
        <v>2</v>
      </c>
      <c r="I59" s="61">
        <v>260.41000000000003</v>
      </c>
      <c r="J59" s="60">
        <v>520.79999999999995</v>
      </c>
      <c r="K59" s="68">
        <v>0</v>
      </c>
      <c r="L59" s="69">
        <f t="shared" si="2"/>
        <v>260.41000000000003</v>
      </c>
      <c r="M59" s="273">
        <f t="shared" si="3"/>
        <v>0</v>
      </c>
      <c r="N59" s="71">
        <f t="shared" si="4"/>
        <v>2</v>
      </c>
      <c r="O59" s="72">
        <f t="shared" si="5"/>
        <v>260.41000000000003</v>
      </c>
      <c r="P59" s="274">
        <f t="shared" si="6"/>
        <v>520.82000000000005</v>
      </c>
      <c r="Q59" s="121">
        <f t="shared" si="7"/>
        <v>2.08</v>
      </c>
      <c r="S59" s="121">
        <f t="shared" si="11"/>
        <v>0.1</v>
      </c>
      <c r="T59" s="194">
        <f t="shared" si="12"/>
        <v>1.9</v>
      </c>
    </row>
    <row r="60" spans="2:20" s="121" customFormat="1" ht="16.5" customHeight="1" x14ac:dyDescent="0.2">
      <c r="B60" s="120"/>
      <c r="C60" s="73" t="s">
        <v>226</v>
      </c>
      <c r="D60" s="73" t="s">
        <v>209</v>
      </c>
      <c r="E60" s="74" t="s">
        <v>326</v>
      </c>
      <c r="F60" s="75" t="s">
        <v>327</v>
      </c>
      <c r="G60" s="76" t="s">
        <v>99</v>
      </c>
      <c r="H60" s="77">
        <v>2.0299999999999998</v>
      </c>
      <c r="I60" s="78">
        <v>1801.85</v>
      </c>
      <c r="J60" s="77">
        <v>3657.8</v>
      </c>
      <c r="K60" s="68">
        <v>0</v>
      </c>
      <c r="L60" s="69">
        <f t="shared" si="2"/>
        <v>1801.85</v>
      </c>
      <c r="M60" s="273">
        <f t="shared" si="3"/>
        <v>0</v>
      </c>
      <c r="N60" s="71">
        <f t="shared" si="4"/>
        <v>2.0299999999999998</v>
      </c>
      <c r="O60" s="72">
        <f t="shared" si="5"/>
        <v>1801.85</v>
      </c>
      <c r="P60" s="274">
        <f t="shared" si="6"/>
        <v>3657.7554999999993</v>
      </c>
      <c r="Q60" s="121">
        <f t="shared" si="7"/>
        <v>2.11</v>
      </c>
      <c r="S60" s="121">
        <f t="shared" si="11"/>
        <v>0.10149999999999999</v>
      </c>
      <c r="T60" s="194">
        <f t="shared" si="12"/>
        <v>1.9284999999999999</v>
      </c>
    </row>
    <row r="61" spans="2:20" s="121" customFormat="1" ht="16.5" customHeight="1" x14ac:dyDescent="0.2">
      <c r="B61" s="120"/>
      <c r="C61" s="56" t="s">
        <v>230</v>
      </c>
      <c r="D61" s="56" t="s">
        <v>96</v>
      </c>
      <c r="E61" s="57" t="s">
        <v>329</v>
      </c>
      <c r="F61" s="58" t="s">
        <v>330</v>
      </c>
      <c r="G61" s="59" t="s">
        <v>99</v>
      </c>
      <c r="H61" s="60">
        <v>9</v>
      </c>
      <c r="I61" s="61">
        <v>219.64</v>
      </c>
      <c r="J61" s="60">
        <v>1976.8</v>
      </c>
      <c r="K61" s="68">
        <v>0</v>
      </c>
      <c r="L61" s="69">
        <f t="shared" si="2"/>
        <v>219.64</v>
      </c>
      <c r="M61" s="273">
        <f t="shared" si="3"/>
        <v>0</v>
      </c>
      <c r="N61" s="71">
        <f t="shared" si="4"/>
        <v>9</v>
      </c>
      <c r="O61" s="72">
        <f t="shared" si="5"/>
        <v>219.64</v>
      </c>
      <c r="P61" s="274">
        <f t="shared" si="6"/>
        <v>1976.7599999999998</v>
      </c>
      <c r="Q61" s="121">
        <f t="shared" si="7"/>
        <v>9.35</v>
      </c>
      <c r="S61" s="121">
        <f t="shared" si="11"/>
        <v>0.45</v>
      </c>
      <c r="T61" s="194">
        <f t="shared" si="12"/>
        <v>8.5500000000000007</v>
      </c>
    </row>
    <row r="62" spans="2:20" s="121" customFormat="1" ht="16.5" customHeight="1" x14ac:dyDescent="0.2">
      <c r="B62" s="120"/>
      <c r="C62" s="73" t="s">
        <v>233</v>
      </c>
      <c r="D62" s="73" t="s">
        <v>209</v>
      </c>
      <c r="E62" s="74" t="s">
        <v>332</v>
      </c>
      <c r="F62" s="75" t="s">
        <v>333</v>
      </c>
      <c r="G62" s="76" t="s">
        <v>99</v>
      </c>
      <c r="H62" s="77">
        <v>4.0599999999999996</v>
      </c>
      <c r="I62" s="78">
        <v>1129.77</v>
      </c>
      <c r="J62" s="77">
        <v>4586.8999999999996</v>
      </c>
      <c r="K62" s="68">
        <v>0</v>
      </c>
      <c r="L62" s="69">
        <f t="shared" si="2"/>
        <v>1129.77</v>
      </c>
      <c r="M62" s="273">
        <f t="shared" si="3"/>
        <v>0</v>
      </c>
      <c r="N62" s="71">
        <f t="shared" si="4"/>
        <v>4.0599999999999996</v>
      </c>
      <c r="O62" s="72">
        <f t="shared" si="5"/>
        <v>1129.77</v>
      </c>
      <c r="P62" s="274">
        <f t="shared" si="6"/>
        <v>4586.8661999999995</v>
      </c>
      <c r="Q62" s="121">
        <f t="shared" si="7"/>
        <v>4.22</v>
      </c>
      <c r="S62" s="121">
        <f t="shared" si="11"/>
        <v>0.20299999999999999</v>
      </c>
      <c r="T62" s="194">
        <f t="shared" si="12"/>
        <v>3.8569999999999998</v>
      </c>
    </row>
    <row r="63" spans="2:20" s="121" customFormat="1" ht="16.5" customHeight="1" x14ac:dyDescent="0.2">
      <c r="B63" s="120"/>
      <c r="C63" s="73" t="s">
        <v>236</v>
      </c>
      <c r="D63" s="73" t="s">
        <v>209</v>
      </c>
      <c r="E63" s="74" t="s">
        <v>335</v>
      </c>
      <c r="F63" s="75" t="s">
        <v>336</v>
      </c>
      <c r="G63" s="76" t="s">
        <v>99</v>
      </c>
      <c r="H63" s="77">
        <v>5.08</v>
      </c>
      <c r="I63" s="78">
        <v>1129.77</v>
      </c>
      <c r="J63" s="77">
        <v>5739.2</v>
      </c>
      <c r="K63" s="68">
        <v>0</v>
      </c>
      <c r="L63" s="69">
        <f t="shared" si="2"/>
        <v>1129.77</v>
      </c>
      <c r="M63" s="273">
        <f t="shared" si="3"/>
        <v>0</v>
      </c>
      <c r="N63" s="71">
        <f t="shared" si="4"/>
        <v>5.08</v>
      </c>
      <c r="O63" s="72">
        <f t="shared" si="5"/>
        <v>1129.77</v>
      </c>
      <c r="P63" s="274">
        <f t="shared" si="6"/>
        <v>5739.2316000000001</v>
      </c>
      <c r="Q63" s="121">
        <f t="shared" si="7"/>
        <v>5.28</v>
      </c>
      <c r="S63" s="121">
        <f t="shared" si="11"/>
        <v>0.254</v>
      </c>
      <c r="T63" s="194">
        <f t="shared" si="12"/>
        <v>4.8260000000000005</v>
      </c>
    </row>
    <row r="64" spans="2:20" s="121" customFormat="1" ht="33.75" customHeight="1" x14ac:dyDescent="0.2">
      <c r="B64" s="120"/>
      <c r="C64" s="56" t="s">
        <v>239</v>
      </c>
      <c r="D64" s="56" t="s">
        <v>96</v>
      </c>
      <c r="E64" s="57" t="s">
        <v>347</v>
      </c>
      <c r="F64" s="58" t="s">
        <v>348</v>
      </c>
      <c r="G64" s="59" t="s">
        <v>133</v>
      </c>
      <c r="H64" s="60">
        <v>154.69999999999999</v>
      </c>
      <c r="I64" s="61">
        <v>56.03</v>
      </c>
      <c r="J64" s="60">
        <v>8667.7999999999993</v>
      </c>
      <c r="K64" s="68">
        <f t="shared" ref="K64" si="13">ROUND(163.8/160.8*Q64-Q64,2)</f>
        <v>3</v>
      </c>
      <c r="L64" s="69">
        <f t="shared" si="2"/>
        <v>56.03</v>
      </c>
      <c r="M64" s="273">
        <f t="shared" si="3"/>
        <v>168.09</v>
      </c>
      <c r="N64" s="71">
        <f t="shared" si="4"/>
        <v>157.69999999999999</v>
      </c>
      <c r="O64" s="72">
        <f t="shared" si="5"/>
        <v>56.03</v>
      </c>
      <c r="P64" s="274">
        <f t="shared" si="6"/>
        <v>8835.9309999999987</v>
      </c>
      <c r="Q64" s="121">
        <f t="shared" si="7"/>
        <v>160.80000000000001</v>
      </c>
      <c r="S64" s="121">
        <f t="shared" si="11"/>
        <v>7.7349999999999994</v>
      </c>
      <c r="T64" s="194">
        <f t="shared" si="12"/>
        <v>149.96499999999997</v>
      </c>
    </row>
    <row r="65" spans="2:20" s="121" customFormat="1" ht="16.5" customHeight="1" x14ac:dyDescent="0.2">
      <c r="B65" s="120"/>
      <c r="C65" s="56" t="s">
        <v>242</v>
      </c>
      <c r="D65" s="56" t="s">
        <v>96</v>
      </c>
      <c r="E65" s="57" t="s">
        <v>350</v>
      </c>
      <c r="F65" s="58" t="s">
        <v>351</v>
      </c>
      <c r="G65" s="59" t="s">
        <v>99</v>
      </c>
      <c r="H65" s="60">
        <v>8</v>
      </c>
      <c r="I65" s="61">
        <v>808.86</v>
      </c>
      <c r="J65" s="60">
        <v>6470.9</v>
      </c>
      <c r="K65" s="68">
        <v>0</v>
      </c>
      <c r="L65" s="69">
        <f t="shared" si="2"/>
        <v>808.86</v>
      </c>
      <c r="M65" s="273">
        <f t="shared" si="3"/>
        <v>0</v>
      </c>
      <c r="N65" s="71">
        <f t="shared" si="4"/>
        <v>8</v>
      </c>
      <c r="O65" s="72">
        <f t="shared" si="5"/>
        <v>808.86</v>
      </c>
      <c r="P65" s="274">
        <f t="shared" si="6"/>
        <v>6470.88</v>
      </c>
      <c r="Q65" s="121">
        <f t="shared" si="7"/>
        <v>8.32</v>
      </c>
      <c r="S65" s="121">
        <f t="shared" si="11"/>
        <v>0.4</v>
      </c>
      <c r="T65" s="194">
        <f t="shared" si="12"/>
        <v>7.6</v>
      </c>
    </row>
    <row r="66" spans="2:20" s="121" customFormat="1" ht="16.5" customHeight="1" x14ac:dyDescent="0.2">
      <c r="B66" s="120"/>
      <c r="C66" s="73" t="s">
        <v>245</v>
      </c>
      <c r="D66" s="73" t="s">
        <v>209</v>
      </c>
      <c r="E66" s="74" t="s">
        <v>356</v>
      </c>
      <c r="F66" s="75" t="s">
        <v>357</v>
      </c>
      <c r="G66" s="76" t="s">
        <v>99</v>
      </c>
      <c r="H66" s="77">
        <v>5</v>
      </c>
      <c r="I66" s="78">
        <v>1202.1099999999999</v>
      </c>
      <c r="J66" s="77">
        <v>6010.6</v>
      </c>
      <c r="K66" s="68">
        <v>0</v>
      </c>
      <c r="L66" s="69">
        <f t="shared" si="2"/>
        <v>1202.1099999999999</v>
      </c>
      <c r="M66" s="273">
        <f t="shared" si="3"/>
        <v>0</v>
      </c>
      <c r="N66" s="71">
        <f t="shared" si="4"/>
        <v>5</v>
      </c>
      <c r="O66" s="72">
        <f t="shared" si="5"/>
        <v>1202.1099999999999</v>
      </c>
      <c r="P66" s="274">
        <f t="shared" si="6"/>
        <v>6010.5499999999993</v>
      </c>
      <c r="Q66" s="121">
        <f t="shared" si="7"/>
        <v>5.2</v>
      </c>
      <c r="S66" s="121">
        <f t="shared" si="11"/>
        <v>0.25</v>
      </c>
      <c r="T66" s="194">
        <f t="shared" si="12"/>
        <v>4.75</v>
      </c>
    </row>
    <row r="67" spans="2:20" s="121" customFormat="1" ht="16.5" customHeight="1" x14ac:dyDescent="0.2">
      <c r="B67" s="120"/>
      <c r="C67" s="73" t="s">
        <v>248</v>
      </c>
      <c r="D67" s="73" t="s">
        <v>209</v>
      </c>
      <c r="E67" s="74" t="s">
        <v>359</v>
      </c>
      <c r="F67" s="75" t="s">
        <v>360</v>
      </c>
      <c r="G67" s="76" t="s">
        <v>99</v>
      </c>
      <c r="H67" s="77">
        <v>3</v>
      </c>
      <c r="I67" s="78">
        <v>775.98</v>
      </c>
      <c r="J67" s="77">
        <v>2327.9</v>
      </c>
      <c r="K67" s="68">
        <v>0</v>
      </c>
      <c r="L67" s="69">
        <f t="shared" si="2"/>
        <v>775.98</v>
      </c>
      <c r="M67" s="273">
        <f t="shared" si="3"/>
        <v>0</v>
      </c>
      <c r="N67" s="71">
        <f t="shared" si="4"/>
        <v>3</v>
      </c>
      <c r="O67" s="72">
        <f t="shared" si="5"/>
        <v>775.98</v>
      </c>
      <c r="P67" s="274">
        <f t="shared" si="6"/>
        <v>2327.94</v>
      </c>
      <c r="Q67" s="121">
        <f t="shared" si="7"/>
        <v>3.12</v>
      </c>
      <c r="S67" s="121">
        <f t="shared" si="11"/>
        <v>0.15000000000000002</v>
      </c>
      <c r="T67" s="194">
        <f t="shared" si="12"/>
        <v>2.85</v>
      </c>
    </row>
    <row r="68" spans="2:20" s="121" customFormat="1" ht="16.5" customHeight="1" x14ac:dyDescent="0.2">
      <c r="B68" s="120"/>
      <c r="C68" s="73" t="s">
        <v>251</v>
      </c>
      <c r="D68" s="73" t="s">
        <v>209</v>
      </c>
      <c r="E68" s="74" t="s">
        <v>362</v>
      </c>
      <c r="F68" s="75" t="s">
        <v>363</v>
      </c>
      <c r="G68" s="76" t="s">
        <v>99</v>
      </c>
      <c r="H68" s="77">
        <v>13</v>
      </c>
      <c r="I68" s="78">
        <v>211.75</v>
      </c>
      <c r="J68" s="77">
        <v>2752.8</v>
      </c>
      <c r="K68" s="68">
        <v>0</v>
      </c>
      <c r="L68" s="69">
        <f t="shared" si="2"/>
        <v>211.75</v>
      </c>
      <c r="M68" s="273">
        <f t="shared" si="3"/>
        <v>0</v>
      </c>
      <c r="N68" s="71">
        <f t="shared" si="4"/>
        <v>13</v>
      </c>
      <c r="O68" s="72">
        <f t="shared" si="5"/>
        <v>211.75</v>
      </c>
      <c r="P68" s="274">
        <f t="shared" si="6"/>
        <v>2752.75</v>
      </c>
      <c r="Q68" s="121">
        <f t="shared" si="7"/>
        <v>13.51</v>
      </c>
      <c r="S68" s="121">
        <f t="shared" si="11"/>
        <v>0.65</v>
      </c>
      <c r="T68" s="194">
        <f t="shared" si="12"/>
        <v>12.35</v>
      </c>
    </row>
    <row r="69" spans="2:20" s="121" customFormat="1" ht="16.5" customHeight="1" x14ac:dyDescent="0.2">
      <c r="B69" s="120"/>
      <c r="C69" s="56" t="s">
        <v>254</v>
      </c>
      <c r="D69" s="56" t="s">
        <v>96</v>
      </c>
      <c r="E69" s="57" t="s">
        <v>365</v>
      </c>
      <c r="F69" s="58" t="s">
        <v>366</v>
      </c>
      <c r="G69" s="59" t="s">
        <v>99</v>
      </c>
      <c r="H69" s="60">
        <v>5</v>
      </c>
      <c r="I69" s="61">
        <v>808.86</v>
      </c>
      <c r="J69" s="60">
        <v>4044.3</v>
      </c>
      <c r="K69" s="68">
        <v>0</v>
      </c>
      <c r="L69" s="69">
        <f t="shared" si="2"/>
        <v>808.86</v>
      </c>
      <c r="M69" s="273">
        <f t="shared" si="3"/>
        <v>0</v>
      </c>
      <c r="N69" s="71">
        <f t="shared" si="4"/>
        <v>5</v>
      </c>
      <c r="O69" s="72">
        <f t="shared" si="5"/>
        <v>808.86</v>
      </c>
      <c r="P69" s="274">
        <f t="shared" si="6"/>
        <v>4044.3</v>
      </c>
      <c r="Q69" s="121">
        <f t="shared" si="7"/>
        <v>5.2</v>
      </c>
      <c r="S69" s="121">
        <f t="shared" si="11"/>
        <v>0.25</v>
      </c>
      <c r="T69" s="194">
        <f t="shared" si="12"/>
        <v>4.75</v>
      </c>
    </row>
    <row r="70" spans="2:20" s="121" customFormat="1" ht="16.5" customHeight="1" x14ac:dyDescent="0.2">
      <c r="B70" s="120"/>
      <c r="C70" s="73" t="s">
        <v>258</v>
      </c>
      <c r="D70" s="73" t="s">
        <v>209</v>
      </c>
      <c r="E70" s="74" t="s">
        <v>368</v>
      </c>
      <c r="F70" s="75" t="s">
        <v>369</v>
      </c>
      <c r="G70" s="76" t="s">
        <v>99</v>
      </c>
      <c r="H70" s="77">
        <v>5</v>
      </c>
      <c r="I70" s="78">
        <v>1530.92</v>
      </c>
      <c r="J70" s="77">
        <v>7654.6</v>
      </c>
      <c r="K70" s="68">
        <v>0</v>
      </c>
      <c r="L70" s="69">
        <f t="shared" si="2"/>
        <v>1530.92</v>
      </c>
      <c r="M70" s="273">
        <f t="shared" si="3"/>
        <v>0</v>
      </c>
      <c r="N70" s="71">
        <f t="shared" si="4"/>
        <v>5</v>
      </c>
      <c r="O70" s="72">
        <f t="shared" si="5"/>
        <v>1530.92</v>
      </c>
      <c r="P70" s="274">
        <f t="shared" si="6"/>
        <v>7654.6</v>
      </c>
      <c r="Q70" s="121">
        <f t="shared" si="7"/>
        <v>5.2</v>
      </c>
      <c r="S70" s="121">
        <f t="shared" si="11"/>
        <v>0.25</v>
      </c>
      <c r="T70" s="194">
        <f t="shared" si="12"/>
        <v>4.75</v>
      </c>
    </row>
    <row r="71" spans="2:20" s="121" customFormat="1" ht="16.5" customHeight="1" x14ac:dyDescent="0.2">
      <c r="B71" s="120"/>
      <c r="C71" s="56" t="s">
        <v>261</v>
      </c>
      <c r="D71" s="56" t="s">
        <v>96</v>
      </c>
      <c r="E71" s="57" t="s">
        <v>371</v>
      </c>
      <c r="F71" s="58" t="s">
        <v>372</v>
      </c>
      <c r="G71" s="59" t="s">
        <v>99</v>
      </c>
      <c r="H71" s="60">
        <v>5</v>
      </c>
      <c r="I71" s="61">
        <v>3234.12</v>
      </c>
      <c r="J71" s="60">
        <v>16170.6</v>
      </c>
      <c r="K71" s="68">
        <v>0</v>
      </c>
      <c r="L71" s="69">
        <f t="shared" si="2"/>
        <v>3234.12</v>
      </c>
      <c r="M71" s="273">
        <f t="shared" si="3"/>
        <v>0</v>
      </c>
      <c r="N71" s="71">
        <f t="shared" si="4"/>
        <v>5</v>
      </c>
      <c r="O71" s="72">
        <f t="shared" si="5"/>
        <v>3234.12</v>
      </c>
      <c r="P71" s="274">
        <f t="shared" si="6"/>
        <v>16170.599999999999</v>
      </c>
      <c r="Q71" s="121">
        <f t="shared" si="7"/>
        <v>5.2</v>
      </c>
      <c r="S71" s="121">
        <f t="shared" si="11"/>
        <v>0.25</v>
      </c>
      <c r="T71" s="194">
        <f t="shared" si="12"/>
        <v>4.75</v>
      </c>
    </row>
    <row r="72" spans="2:20" s="121" customFormat="1" ht="16.5" customHeight="1" x14ac:dyDescent="0.2">
      <c r="B72" s="120"/>
      <c r="C72" s="73" t="s">
        <v>264</v>
      </c>
      <c r="D72" s="73" t="s">
        <v>209</v>
      </c>
      <c r="E72" s="74" t="s">
        <v>374</v>
      </c>
      <c r="F72" s="75" t="s">
        <v>375</v>
      </c>
      <c r="G72" s="76" t="s">
        <v>99</v>
      </c>
      <c r="H72" s="77">
        <v>5</v>
      </c>
      <c r="I72" s="78">
        <v>14588.41</v>
      </c>
      <c r="J72" s="77">
        <v>72942.100000000006</v>
      </c>
      <c r="K72" s="68">
        <v>0</v>
      </c>
      <c r="L72" s="69">
        <f t="shared" si="2"/>
        <v>14588.41</v>
      </c>
      <c r="M72" s="273">
        <f t="shared" si="3"/>
        <v>0</v>
      </c>
      <c r="N72" s="71">
        <f t="shared" si="4"/>
        <v>5</v>
      </c>
      <c r="O72" s="72">
        <f t="shared" si="5"/>
        <v>14588.41</v>
      </c>
      <c r="P72" s="274">
        <f t="shared" si="6"/>
        <v>72942.05</v>
      </c>
      <c r="Q72" s="121">
        <f t="shared" si="7"/>
        <v>5.2</v>
      </c>
      <c r="S72" s="121">
        <f t="shared" si="11"/>
        <v>0.25</v>
      </c>
      <c r="T72" s="194">
        <f t="shared" si="12"/>
        <v>4.75</v>
      </c>
    </row>
    <row r="73" spans="2:20" s="121" customFormat="1" ht="16.5" customHeight="1" x14ac:dyDescent="0.2">
      <c r="B73" s="120"/>
      <c r="C73" s="56" t="s">
        <v>267</v>
      </c>
      <c r="D73" s="56" t="s">
        <v>96</v>
      </c>
      <c r="E73" s="57" t="s">
        <v>377</v>
      </c>
      <c r="F73" s="58" t="s">
        <v>378</v>
      </c>
      <c r="G73" s="59" t="s">
        <v>99</v>
      </c>
      <c r="H73" s="60">
        <v>5</v>
      </c>
      <c r="I73" s="61">
        <v>485.32</v>
      </c>
      <c r="J73" s="60">
        <v>2426.6</v>
      </c>
      <c r="K73" s="68">
        <v>0</v>
      </c>
      <c r="L73" s="69">
        <f t="shared" si="2"/>
        <v>485.32</v>
      </c>
      <c r="M73" s="273">
        <f t="shared" si="3"/>
        <v>0</v>
      </c>
      <c r="N73" s="71">
        <f t="shared" si="4"/>
        <v>5</v>
      </c>
      <c r="O73" s="72">
        <f t="shared" si="5"/>
        <v>485.32</v>
      </c>
      <c r="P73" s="274">
        <f t="shared" si="6"/>
        <v>2426.6</v>
      </c>
      <c r="Q73" s="121">
        <f t="shared" si="7"/>
        <v>5.2</v>
      </c>
      <c r="S73" s="121">
        <f t="shared" si="11"/>
        <v>0.25</v>
      </c>
      <c r="T73" s="194">
        <f t="shared" si="12"/>
        <v>4.75</v>
      </c>
    </row>
    <row r="74" spans="2:20" s="121" customFormat="1" ht="16.5" customHeight="1" x14ac:dyDescent="0.2">
      <c r="B74" s="120"/>
      <c r="C74" s="73" t="s">
        <v>270</v>
      </c>
      <c r="D74" s="73" t="s">
        <v>209</v>
      </c>
      <c r="E74" s="74" t="s">
        <v>380</v>
      </c>
      <c r="F74" s="75" t="s">
        <v>381</v>
      </c>
      <c r="G74" s="76" t="s">
        <v>99</v>
      </c>
      <c r="H74" s="77">
        <v>5</v>
      </c>
      <c r="I74" s="78">
        <v>6510.34</v>
      </c>
      <c r="J74" s="77">
        <v>32551.7</v>
      </c>
      <c r="K74" s="68">
        <v>0</v>
      </c>
      <c r="L74" s="69">
        <f t="shared" si="2"/>
        <v>6510.34</v>
      </c>
      <c r="M74" s="273">
        <f t="shared" si="3"/>
        <v>0</v>
      </c>
      <c r="N74" s="71">
        <f t="shared" si="4"/>
        <v>5</v>
      </c>
      <c r="O74" s="72">
        <f t="shared" si="5"/>
        <v>6510.34</v>
      </c>
      <c r="P74" s="274">
        <f t="shared" si="6"/>
        <v>32551.7</v>
      </c>
      <c r="Q74" s="121">
        <f t="shared" si="7"/>
        <v>5.2</v>
      </c>
      <c r="S74" s="121">
        <f t="shared" si="11"/>
        <v>0.25</v>
      </c>
      <c r="T74" s="194">
        <f t="shared" si="12"/>
        <v>4.75</v>
      </c>
    </row>
    <row r="75" spans="2:20" s="121" customFormat="1" ht="16.5" customHeight="1" x14ac:dyDescent="0.2">
      <c r="B75" s="120"/>
      <c r="C75" s="56" t="s">
        <v>273</v>
      </c>
      <c r="D75" s="56" t="s">
        <v>96</v>
      </c>
      <c r="E75" s="57" t="s">
        <v>383</v>
      </c>
      <c r="F75" s="58" t="s">
        <v>384</v>
      </c>
      <c r="G75" s="59" t="s">
        <v>133</v>
      </c>
      <c r="H75" s="60">
        <v>154.69999999999999</v>
      </c>
      <c r="I75" s="61">
        <v>9.2100000000000009</v>
      </c>
      <c r="J75" s="60">
        <v>1424.8</v>
      </c>
      <c r="K75" s="68">
        <f t="shared" ref="K75" si="14">ROUND(163.8/160.8*Q75-Q75,2)</f>
        <v>3</v>
      </c>
      <c r="L75" s="69">
        <f t="shared" si="2"/>
        <v>9.2100000000000009</v>
      </c>
      <c r="M75" s="273">
        <f t="shared" si="3"/>
        <v>27.630000000000003</v>
      </c>
      <c r="N75" s="71">
        <f t="shared" si="4"/>
        <v>157.69999999999999</v>
      </c>
      <c r="O75" s="72">
        <f t="shared" si="5"/>
        <v>9.2100000000000009</v>
      </c>
      <c r="P75" s="274">
        <f t="shared" si="6"/>
        <v>1452.4169999999999</v>
      </c>
      <c r="Q75" s="121">
        <f t="shared" si="7"/>
        <v>160.80000000000001</v>
      </c>
      <c r="S75" s="121">
        <f t="shared" si="11"/>
        <v>7.7349999999999994</v>
      </c>
      <c r="T75" s="194">
        <f t="shared" si="12"/>
        <v>149.96499999999997</v>
      </c>
    </row>
    <row r="76" spans="2:20" s="170" customFormat="1" ht="22.9" customHeight="1" x14ac:dyDescent="0.2">
      <c r="B76" s="165"/>
      <c r="C76" s="252"/>
      <c r="D76" s="253" t="s">
        <v>4</v>
      </c>
      <c r="E76" s="254" t="s">
        <v>118</v>
      </c>
      <c r="F76" s="254" t="s">
        <v>385</v>
      </c>
      <c r="G76" s="252"/>
      <c r="H76" s="252"/>
      <c r="I76" s="255"/>
      <c r="J76" s="256">
        <f>+SUBTOTAL(9,J77:J78)</f>
        <v>1279.9000000000001</v>
      </c>
      <c r="K76" s="261"/>
      <c r="L76" s="262"/>
      <c r="M76" s="279">
        <f>SUM(M77:M78)</f>
        <v>0</v>
      </c>
      <c r="N76" s="280"/>
      <c r="O76" s="262"/>
      <c r="P76" s="279">
        <f>SUM(P77:P78)</f>
        <v>1279.92</v>
      </c>
      <c r="Q76" s="121">
        <f t="shared" si="7"/>
        <v>0</v>
      </c>
    </row>
    <row r="77" spans="2:20" s="121" customFormat="1" ht="16.5" customHeight="1" x14ac:dyDescent="0.2">
      <c r="B77" s="120"/>
      <c r="C77" s="56" t="s">
        <v>276</v>
      </c>
      <c r="D77" s="56" t="s">
        <v>96</v>
      </c>
      <c r="E77" s="57" t="s">
        <v>387</v>
      </c>
      <c r="F77" s="58" t="s">
        <v>388</v>
      </c>
      <c r="G77" s="59" t="s">
        <v>133</v>
      </c>
      <c r="H77" s="60">
        <v>8</v>
      </c>
      <c r="I77" s="61">
        <v>87.65</v>
      </c>
      <c r="J77" s="60">
        <v>701.2</v>
      </c>
      <c r="K77" s="68">
        <v>0</v>
      </c>
      <c r="L77" s="69">
        <f t="shared" si="2"/>
        <v>87.65</v>
      </c>
      <c r="M77" s="273">
        <f t="shared" si="3"/>
        <v>0</v>
      </c>
      <c r="N77" s="71">
        <f t="shared" si="4"/>
        <v>8</v>
      </c>
      <c r="O77" s="72">
        <f t="shared" si="5"/>
        <v>87.65</v>
      </c>
      <c r="P77" s="274">
        <f t="shared" si="6"/>
        <v>701.2</v>
      </c>
      <c r="Q77" s="121">
        <f t="shared" si="7"/>
        <v>8.32</v>
      </c>
    </row>
    <row r="78" spans="2:20" s="121" customFormat="1" ht="16.5" customHeight="1" x14ac:dyDescent="0.2">
      <c r="B78" s="120"/>
      <c r="C78" s="56" t="s">
        <v>279</v>
      </c>
      <c r="D78" s="56" t="s">
        <v>96</v>
      </c>
      <c r="E78" s="57" t="s">
        <v>390</v>
      </c>
      <c r="F78" s="58" t="s">
        <v>391</v>
      </c>
      <c r="G78" s="59" t="s">
        <v>133</v>
      </c>
      <c r="H78" s="60">
        <v>8</v>
      </c>
      <c r="I78" s="61">
        <v>72.34</v>
      </c>
      <c r="J78" s="60">
        <v>578.70000000000005</v>
      </c>
      <c r="K78" s="68">
        <v>0</v>
      </c>
      <c r="L78" s="69">
        <f t="shared" si="2"/>
        <v>72.34</v>
      </c>
      <c r="M78" s="273">
        <f t="shared" si="3"/>
        <v>0</v>
      </c>
      <c r="N78" s="71">
        <f t="shared" si="4"/>
        <v>8</v>
      </c>
      <c r="O78" s="72">
        <f t="shared" si="5"/>
        <v>72.34</v>
      </c>
      <c r="P78" s="274">
        <f t="shared" si="6"/>
        <v>578.72</v>
      </c>
      <c r="Q78" s="121">
        <f t="shared" si="7"/>
        <v>8.32</v>
      </c>
    </row>
    <row r="79" spans="2:20" s="170" customFormat="1" ht="22.9" customHeight="1" x14ac:dyDescent="0.2">
      <c r="B79" s="165"/>
      <c r="C79" s="252"/>
      <c r="D79" s="253" t="s">
        <v>4</v>
      </c>
      <c r="E79" s="254" t="s">
        <v>398</v>
      </c>
      <c r="F79" s="254" t="s">
        <v>399</v>
      </c>
      <c r="G79" s="252"/>
      <c r="H79" s="252"/>
      <c r="I79" s="255"/>
      <c r="J79" s="256">
        <f>+SUBTOTAL(9,J80:J82)</f>
        <v>42936.800000000003</v>
      </c>
      <c r="K79" s="261"/>
      <c r="L79" s="262"/>
      <c r="M79" s="279">
        <f>SUM(M80:M82)</f>
        <v>821.95530000000008</v>
      </c>
      <c r="N79" s="280"/>
      <c r="O79" s="262"/>
      <c r="P79" s="279">
        <f>SUM(P80:P82)</f>
        <v>43758.829299999998</v>
      </c>
      <c r="Q79" s="121">
        <f t="shared" si="7"/>
        <v>0</v>
      </c>
    </row>
    <row r="80" spans="2:20" s="121" customFormat="1" ht="16.5" customHeight="1" x14ac:dyDescent="0.2">
      <c r="B80" s="120"/>
      <c r="C80" s="56" t="s">
        <v>282</v>
      </c>
      <c r="D80" s="56" t="s">
        <v>96</v>
      </c>
      <c r="E80" s="57" t="s">
        <v>401</v>
      </c>
      <c r="F80" s="58" t="s">
        <v>402</v>
      </c>
      <c r="G80" s="59" t="s">
        <v>201</v>
      </c>
      <c r="H80" s="60">
        <v>179.98</v>
      </c>
      <c r="I80" s="61">
        <v>82.62</v>
      </c>
      <c r="J80" s="60">
        <v>14869.9</v>
      </c>
      <c r="K80" s="68">
        <f t="shared" ref="K80" si="15">ROUND(163.8/160.8*Q80-Q80,2)</f>
        <v>3.49</v>
      </c>
      <c r="L80" s="69">
        <f t="shared" ref="L80:L84" si="16">I80</f>
        <v>82.62</v>
      </c>
      <c r="M80" s="273">
        <f t="shared" ref="M80:M84" si="17">K80*L80</f>
        <v>288.34380000000004</v>
      </c>
      <c r="N80" s="71">
        <f t="shared" ref="N80:N84" si="18">H80+K80</f>
        <v>183.47</v>
      </c>
      <c r="O80" s="72">
        <f t="shared" ref="O80:O84" si="19">I80</f>
        <v>82.62</v>
      </c>
      <c r="P80" s="274">
        <f t="shared" ref="P80:P84" si="20">N80*O80</f>
        <v>15158.2914</v>
      </c>
      <c r="Q80" s="121">
        <f t="shared" ref="Q80:Q84" si="21">ROUND(160.8/154.7*H80,2)</f>
        <v>187.08</v>
      </c>
    </row>
    <row r="81" spans="2:17" s="121" customFormat="1" ht="16.5" customHeight="1" x14ac:dyDescent="0.2">
      <c r="B81" s="120"/>
      <c r="C81" s="56" t="s">
        <v>285</v>
      </c>
      <c r="D81" s="56" t="s">
        <v>96</v>
      </c>
      <c r="E81" s="57" t="s">
        <v>407</v>
      </c>
      <c r="F81" s="58" t="s">
        <v>408</v>
      </c>
      <c r="G81" s="59" t="s">
        <v>201</v>
      </c>
      <c r="H81" s="60">
        <v>2.21</v>
      </c>
      <c r="I81" s="61">
        <v>257.77999999999997</v>
      </c>
      <c r="J81" s="60">
        <v>569.70000000000005</v>
      </c>
      <c r="K81" s="68">
        <v>0</v>
      </c>
      <c r="L81" s="69">
        <f t="shared" si="16"/>
        <v>257.77999999999997</v>
      </c>
      <c r="M81" s="273">
        <f t="shared" si="17"/>
        <v>0</v>
      </c>
      <c r="N81" s="71">
        <f t="shared" si="18"/>
        <v>2.21</v>
      </c>
      <c r="O81" s="72">
        <f t="shared" si="19"/>
        <v>257.77999999999997</v>
      </c>
      <c r="P81" s="274">
        <f t="shared" si="20"/>
        <v>569.6937999999999</v>
      </c>
      <c r="Q81" s="121">
        <f t="shared" si="21"/>
        <v>2.2999999999999998</v>
      </c>
    </row>
    <row r="82" spans="2:17" s="121" customFormat="1" ht="16.5" customHeight="1" x14ac:dyDescent="0.2">
      <c r="B82" s="120"/>
      <c r="C82" s="56" t="s">
        <v>289</v>
      </c>
      <c r="D82" s="56" t="s">
        <v>96</v>
      </c>
      <c r="E82" s="57" t="s">
        <v>410</v>
      </c>
      <c r="F82" s="58" t="s">
        <v>411</v>
      </c>
      <c r="G82" s="59" t="s">
        <v>201</v>
      </c>
      <c r="H82" s="60">
        <v>177.78</v>
      </c>
      <c r="I82" s="61">
        <v>154.66999999999999</v>
      </c>
      <c r="J82" s="60">
        <v>27497.200000000001</v>
      </c>
      <c r="K82" s="68">
        <f t="shared" ref="K82" si="22">ROUND(163.8/160.8*Q82-Q82,2)</f>
        <v>3.45</v>
      </c>
      <c r="L82" s="69">
        <f t="shared" si="16"/>
        <v>154.66999999999999</v>
      </c>
      <c r="M82" s="273">
        <f t="shared" si="17"/>
        <v>533.61149999999998</v>
      </c>
      <c r="N82" s="71">
        <f t="shared" si="18"/>
        <v>181.23</v>
      </c>
      <c r="O82" s="72">
        <f t="shared" si="19"/>
        <v>154.66999999999999</v>
      </c>
      <c r="P82" s="274">
        <f t="shared" si="20"/>
        <v>28030.844099999995</v>
      </c>
      <c r="Q82" s="121">
        <f t="shared" si="21"/>
        <v>184.79</v>
      </c>
    </row>
    <row r="83" spans="2:17" s="170" customFormat="1" ht="22.9" customHeight="1" x14ac:dyDescent="0.2">
      <c r="B83" s="165"/>
      <c r="C83" s="252"/>
      <c r="D83" s="253" t="s">
        <v>4</v>
      </c>
      <c r="E83" s="254" t="s">
        <v>412</v>
      </c>
      <c r="F83" s="254" t="s">
        <v>413</v>
      </c>
      <c r="G83" s="252"/>
      <c r="H83" s="252"/>
      <c r="I83" s="255"/>
      <c r="J83" s="256">
        <f>+SUBTOTAL(9,J84)</f>
        <v>45817.2</v>
      </c>
      <c r="K83" s="261"/>
      <c r="L83" s="262"/>
      <c r="M83" s="279">
        <f>M84</f>
        <v>889.04340000000002</v>
      </c>
      <c r="N83" s="280"/>
      <c r="O83" s="262"/>
      <c r="P83" s="279">
        <f>P84</f>
        <v>46706.243999999999</v>
      </c>
      <c r="Q83" s="121">
        <f t="shared" si="21"/>
        <v>0</v>
      </c>
    </row>
    <row r="84" spans="2:17" s="121" customFormat="1" ht="16.5" customHeight="1" x14ac:dyDescent="0.2">
      <c r="B84" s="120"/>
      <c r="C84" s="56" t="s">
        <v>292</v>
      </c>
      <c r="D84" s="56" t="s">
        <v>96</v>
      </c>
      <c r="E84" s="57" t="s">
        <v>415</v>
      </c>
      <c r="F84" s="58" t="s">
        <v>416</v>
      </c>
      <c r="G84" s="59" t="s">
        <v>201</v>
      </c>
      <c r="H84" s="60">
        <v>400.43</v>
      </c>
      <c r="I84" s="61">
        <v>114.42</v>
      </c>
      <c r="J84" s="60">
        <v>45817.2</v>
      </c>
      <c r="K84" s="68">
        <f t="shared" ref="K84" si="23">ROUND(163.8/160.8*Q84-Q84,2)</f>
        <v>7.77</v>
      </c>
      <c r="L84" s="69">
        <f t="shared" si="16"/>
        <v>114.42</v>
      </c>
      <c r="M84" s="273">
        <f t="shared" si="17"/>
        <v>889.04340000000002</v>
      </c>
      <c r="N84" s="71">
        <f t="shared" si="18"/>
        <v>408.2</v>
      </c>
      <c r="O84" s="72">
        <f t="shared" si="19"/>
        <v>114.42</v>
      </c>
      <c r="P84" s="274">
        <f t="shared" si="20"/>
        <v>46706.243999999999</v>
      </c>
      <c r="Q84" s="121">
        <f t="shared" si="21"/>
        <v>416.22</v>
      </c>
    </row>
    <row r="85" spans="2:17" s="121" customFormat="1" ht="6.95" customHeight="1" x14ac:dyDescent="0.2">
      <c r="B85" s="120"/>
      <c r="C85" s="120"/>
      <c r="D85" s="120"/>
      <c r="E85" s="120"/>
      <c r="F85" s="120"/>
      <c r="G85" s="120"/>
      <c r="H85" s="120"/>
      <c r="I85" s="153"/>
      <c r="J85" s="120"/>
    </row>
    <row r="86" spans="2:17" ht="18" customHeight="1" x14ac:dyDescent="0.2">
      <c r="D86" s="42"/>
      <c r="E86" s="43" t="s">
        <v>895</v>
      </c>
      <c r="F86" s="44"/>
      <c r="G86" s="44"/>
      <c r="H86" s="45"/>
      <c r="I86" s="44"/>
      <c r="J86" s="281">
        <f>J83+J79+J76+J55+J48+J41+J38+J14</f>
        <v>1333674.1000000001</v>
      </c>
      <c r="K86" s="49"/>
      <c r="L86" s="46"/>
      <c r="M86" s="281">
        <f>M83+M79+M76+M55+M48+M41+M38+M14</f>
        <v>20953.674200000001</v>
      </c>
      <c r="N86" s="49"/>
      <c r="O86" s="46"/>
      <c r="P86" s="281">
        <f>P83+P79+P76+P55+P48+P41+P38+P14</f>
        <v>1354628.0439999998</v>
      </c>
    </row>
    <row r="87" spans="2:17" ht="12.75" x14ac:dyDescent="0.2">
      <c r="H87" s="50"/>
      <c r="I87" s="8"/>
      <c r="J87" s="9"/>
    </row>
    <row r="88" spans="2:17" ht="14.25" x14ac:dyDescent="0.2">
      <c r="E88" s="6" t="s">
        <v>849</v>
      </c>
      <c r="F88" s="6"/>
      <c r="G88" s="320" t="s">
        <v>1224</v>
      </c>
      <c r="H88" s="50"/>
      <c r="I88" s="8"/>
      <c r="J88" s="6"/>
      <c r="K88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A10:P84" xr:uid="{36E432E0-05B9-472B-8951-EFCC4E4AA71C}"/>
  <mergeCells count="2">
    <mergeCell ref="K9:M9"/>
    <mergeCell ref="N9:P9"/>
  </mergeCells>
  <conditionalFormatting sqref="D3:E8 D1:J1 D2:F2 H2:J8 Q9:HI10 D11:HI11 K1:HI8 K12:O14 K15:L84">
    <cfRule type="cellIs" dxfId="431" priority="98" operator="lessThan">
      <formula>0</formula>
    </cfRule>
  </conditionalFormatting>
  <conditionalFormatting sqref="G4">
    <cfRule type="cellIs" dxfId="430" priority="97" operator="lessThan">
      <formula>0</formula>
    </cfRule>
  </conditionalFormatting>
  <conditionalFormatting sqref="G3">
    <cfRule type="cellIs" dxfId="429" priority="96" operator="lessThan">
      <formula>0</formula>
    </cfRule>
  </conditionalFormatting>
  <conditionalFormatting sqref="K12:O14 K15:L84">
    <cfRule type="cellIs" dxfId="428" priority="43" operator="lessThan">
      <formula>0</formula>
    </cfRule>
  </conditionalFormatting>
  <conditionalFormatting sqref="D86:D88 E86:HS87 Q88:HS88">
    <cfRule type="cellIs" dxfId="427" priority="32" operator="lessThan">
      <formula>0</formula>
    </cfRule>
  </conditionalFormatting>
  <conditionalFormatting sqref="N15:O84">
    <cfRule type="cellIs" dxfId="426" priority="14" operator="lessThan">
      <formula>0</formula>
    </cfRule>
  </conditionalFormatting>
  <conditionalFormatting sqref="N15:O84">
    <cfRule type="cellIs" dxfId="425" priority="13" operator="lessThan">
      <formula>0</formula>
    </cfRule>
  </conditionalFormatting>
  <conditionalFormatting sqref="G2">
    <cfRule type="cellIs" dxfId="424" priority="11" operator="lessThan">
      <formula>0</formula>
    </cfRule>
  </conditionalFormatting>
  <conditionalFormatting sqref="E9:J10">
    <cfRule type="cellIs" dxfId="423" priority="9" operator="lessThan">
      <formula>0</formula>
    </cfRule>
  </conditionalFormatting>
  <conditionalFormatting sqref="K9:L10 N9:O9">
    <cfRule type="cellIs" dxfId="422" priority="8" operator="lessThan">
      <formula>0</formula>
    </cfRule>
  </conditionalFormatting>
  <conditionalFormatting sqref="M10:P10">
    <cfRule type="cellIs" dxfId="421" priority="7" operator="lessThan">
      <formula>0</formula>
    </cfRule>
  </conditionalFormatting>
  <conditionalFormatting sqref="P14">
    <cfRule type="cellIs" dxfId="420" priority="6" operator="lessThan">
      <formula>0</formula>
    </cfRule>
  </conditionalFormatting>
  <conditionalFormatting sqref="P14">
    <cfRule type="cellIs" dxfId="419" priority="5" operator="lessThan">
      <formula>0</formula>
    </cfRule>
  </conditionalFormatting>
  <conditionalFormatting sqref="G88:I88 L88:P88">
    <cfRule type="cellIs" dxfId="418" priority="4" operator="lessThan">
      <formula>0</formula>
    </cfRule>
  </conditionalFormatting>
  <conditionalFormatting sqref="G88:I88 L88:M88">
    <cfRule type="cellIs" dxfId="417" priority="3" operator="lessThan">
      <formula>0</formula>
    </cfRule>
  </conditionalFormatting>
  <conditionalFormatting sqref="G88:I88">
    <cfRule type="cellIs" dxfId="416" priority="2" operator="lessThan">
      <formula>0</formula>
    </cfRule>
  </conditionalFormatting>
  <conditionalFormatting sqref="G88:I88">
    <cfRule type="cellIs" dxfId="415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2" fitToHeight="0" orientation="landscape" r:id="rId1"/>
  <headerFooter>
    <oddFooter>&amp;CStrana &amp;P z &amp;N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B1:X86"/>
  <sheetViews>
    <sheetView showGridLines="0" view="pageBreakPreview" topLeftCell="A45" zoomScale="85" zoomScaleNormal="85" zoomScaleSheetLayoutView="85" workbookViewId="0">
      <selection activeCell="N69" sqref="N69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5" width="15.83203125" style="8" customWidth="1"/>
    <col min="16" max="16" width="20.33203125" style="8" customWidth="1"/>
    <col min="17" max="17" width="27.5" style="8" customWidth="1"/>
    <col min="18" max="23" width="15.83203125" style="8" customWidth="1"/>
    <col min="24" max="16384" width="9.33203125" style="8"/>
  </cols>
  <sheetData>
    <row r="1" spans="2:24" ht="15" x14ac:dyDescent="0.2">
      <c r="F1" s="11"/>
      <c r="G1" s="89"/>
      <c r="H1" s="88"/>
      <c r="I1" s="8"/>
      <c r="J1" s="9"/>
    </row>
    <row r="2" spans="2:24" s="88" customFormat="1" ht="15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</row>
    <row r="3" spans="2:24" s="88" customFormat="1" ht="15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24" s="13" customFormat="1" ht="15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24" s="13" customFormat="1" ht="15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24" s="13" customFormat="1" ht="15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24" s="13" customFormat="1" ht="15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24" s="14" customFormat="1" ht="12.75" x14ac:dyDescent="0.2">
      <c r="D8" s="146"/>
      <c r="F8" s="11"/>
      <c r="G8" s="105"/>
      <c r="H8" s="145"/>
      <c r="K8" s="149" t="s">
        <v>851</v>
      </c>
      <c r="L8" s="150" t="str">
        <f>+C12</f>
        <v>B8 - Stoka B8</v>
      </c>
      <c r="M8" s="150"/>
      <c r="O8" s="151"/>
    </row>
    <row r="9" spans="2:24" s="15" customFormat="1" ht="12.75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  <c r="Q9" s="87"/>
    </row>
    <row r="10" spans="2:24" s="15" customFormat="1" ht="12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41"/>
      <c r="R10" s="189" t="s">
        <v>1020</v>
      </c>
      <c r="V10" s="189" t="s">
        <v>1044</v>
      </c>
    </row>
    <row r="11" spans="2:24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24" s="121" customFormat="1" ht="15.75" x14ac:dyDescent="0.25">
      <c r="B12" s="120"/>
      <c r="C12" s="152" t="s">
        <v>488</v>
      </c>
      <c r="D12" s="120"/>
      <c r="E12" s="120"/>
      <c r="F12" s="120"/>
      <c r="G12" s="120"/>
      <c r="H12" s="120"/>
      <c r="I12" s="153"/>
      <c r="J12" s="154">
        <f>+SUBTOTAL(9,J13:J82)</f>
        <v>1724109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24" s="170" customFormat="1" ht="15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+SUBTOTAL(9,J14:J82)</f>
        <v>1724109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24" s="170" customFormat="1" ht="22.5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+SUBTOTAL(9,J15:J36)</f>
        <v>737984.70000000007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SUM(M15:M36)</f>
        <v>-2104.6845999999996</v>
      </c>
      <c r="N14" s="278" t="str">
        <f>IF(ISBLANK(H14),"",H14-K14)</f>
        <v/>
      </c>
      <c r="O14" s="272" t="str">
        <f>IF(ISBLANK(H14),"",J14-L14)</f>
        <v/>
      </c>
      <c r="P14" s="272">
        <f>SUM(P15:P36)</f>
        <v>735880.06940000004</v>
      </c>
      <c r="Q14" s="218" t="s">
        <v>1216</v>
      </c>
    </row>
    <row r="15" spans="2:24" s="121" customFormat="1" ht="12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186.27</v>
      </c>
      <c r="I15" s="61">
        <v>40.770000000000003</v>
      </c>
      <c r="J15" s="60">
        <v>7594.2</v>
      </c>
      <c r="K15" s="68">
        <f>ROUND(168.9/169.4*Q15-Q15,2)</f>
        <v>-0.56999999999999995</v>
      </c>
      <c r="L15" s="69">
        <f>I15</f>
        <v>40.770000000000003</v>
      </c>
      <c r="M15" s="273">
        <f>K15*L15</f>
        <v>-23.238900000000001</v>
      </c>
      <c r="N15" s="71">
        <f>H15+K15</f>
        <v>185.70000000000002</v>
      </c>
      <c r="O15" s="72">
        <f>I15</f>
        <v>40.770000000000003</v>
      </c>
      <c r="P15" s="274">
        <f>N15*O15</f>
        <v>7570.9890000000014</v>
      </c>
      <c r="Q15" s="291">
        <f>ROUND(169.4/164.52*H15,2)</f>
        <v>191.8</v>
      </c>
      <c r="X15" s="194"/>
    </row>
    <row r="16" spans="2:24" s="121" customFormat="1" ht="12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355.61</v>
      </c>
      <c r="I16" s="61">
        <v>55.24</v>
      </c>
      <c r="J16" s="60">
        <v>19643.900000000001</v>
      </c>
      <c r="K16" s="68">
        <v>0</v>
      </c>
      <c r="L16" s="69">
        <f t="shared" ref="L16:L79" si="0">I16</f>
        <v>55.24</v>
      </c>
      <c r="M16" s="273">
        <f t="shared" ref="M16:M79" si="1">K16*L16</f>
        <v>0</v>
      </c>
      <c r="N16" s="71">
        <f t="shared" ref="N16:N79" si="2">H16+K16</f>
        <v>355.61</v>
      </c>
      <c r="O16" s="72">
        <f t="shared" ref="O16:O79" si="3">I16</f>
        <v>55.24</v>
      </c>
      <c r="P16" s="274">
        <f t="shared" ref="P16:P79" si="4">N16*O16</f>
        <v>19643.896400000001</v>
      </c>
      <c r="Q16" s="291">
        <f t="shared" ref="Q16:Q79" si="5">ROUND(169.4/164.52*H16,2)</f>
        <v>366.16</v>
      </c>
      <c r="X16" s="194"/>
    </row>
    <row r="17" spans="2:24" s="121" customFormat="1" ht="12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186.27</v>
      </c>
      <c r="I17" s="61">
        <v>151.25</v>
      </c>
      <c r="J17" s="60">
        <v>28173.3</v>
      </c>
      <c r="K17" s="68">
        <v>0</v>
      </c>
      <c r="L17" s="69">
        <f t="shared" si="0"/>
        <v>151.25</v>
      </c>
      <c r="M17" s="273">
        <f t="shared" si="1"/>
        <v>0</v>
      </c>
      <c r="N17" s="71">
        <f t="shared" si="2"/>
        <v>186.27</v>
      </c>
      <c r="O17" s="72">
        <f t="shared" si="3"/>
        <v>151.25</v>
      </c>
      <c r="P17" s="274">
        <f t="shared" si="4"/>
        <v>28173.337500000001</v>
      </c>
      <c r="Q17" s="291">
        <f t="shared" si="5"/>
        <v>191.8</v>
      </c>
      <c r="X17" s="194"/>
    </row>
    <row r="18" spans="2:24" s="121" customFormat="1" ht="12" x14ac:dyDescent="0.2">
      <c r="B18" s="120"/>
      <c r="C18" s="56" t="s">
        <v>105</v>
      </c>
      <c r="D18" s="56" t="s">
        <v>96</v>
      </c>
      <c r="E18" s="57" t="s">
        <v>142</v>
      </c>
      <c r="F18" s="58" t="s">
        <v>143</v>
      </c>
      <c r="G18" s="59" t="s">
        <v>133</v>
      </c>
      <c r="H18" s="60">
        <v>3.3</v>
      </c>
      <c r="I18" s="61">
        <v>170.98</v>
      </c>
      <c r="J18" s="60">
        <v>564.20000000000005</v>
      </c>
      <c r="K18" s="68">
        <f t="shared" ref="K18:K46" si="6">ROUND(168.9/169.4*Q18-Q18,2)</f>
        <v>-0.01</v>
      </c>
      <c r="L18" s="69">
        <f t="shared" si="0"/>
        <v>170.98</v>
      </c>
      <c r="M18" s="273">
        <f t="shared" si="1"/>
        <v>-1.7098</v>
      </c>
      <c r="N18" s="71">
        <f t="shared" si="2"/>
        <v>3.29</v>
      </c>
      <c r="O18" s="72">
        <f t="shared" si="3"/>
        <v>170.98</v>
      </c>
      <c r="P18" s="274">
        <f t="shared" si="4"/>
        <v>562.52419999999995</v>
      </c>
      <c r="Q18" s="291">
        <f t="shared" si="5"/>
        <v>3.4</v>
      </c>
      <c r="X18" s="194"/>
    </row>
    <row r="19" spans="2:24" s="121" customFormat="1" ht="12" x14ac:dyDescent="0.2">
      <c r="B19" s="120"/>
      <c r="C19" s="56" t="s">
        <v>109</v>
      </c>
      <c r="D19" s="56" t="s">
        <v>96</v>
      </c>
      <c r="E19" s="57" t="s">
        <v>145</v>
      </c>
      <c r="F19" s="58" t="s">
        <v>146</v>
      </c>
      <c r="G19" s="59" t="s">
        <v>133</v>
      </c>
      <c r="H19" s="60">
        <v>5.5</v>
      </c>
      <c r="I19" s="61">
        <v>147.30000000000001</v>
      </c>
      <c r="J19" s="60">
        <v>810.2</v>
      </c>
      <c r="K19" s="68">
        <f t="shared" si="6"/>
        <v>-0.02</v>
      </c>
      <c r="L19" s="69">
        <f t="shared" si="0"/>
        <v>147.30000000000001</v>
      </c>
      <c r="M19" s="273">
        <f t="shared" si="1"/>
        <v>-2.9460000000000002</v>
      </c>
      <c r="N19" s="71">
        <f t="shared" si="2"/>
        <v>5.48</v>
      </c>
      <c r="O19" s="72">
        <f t="shared" si="3"/>
        <v>147.30000000000001</v>
      </c>
      <c r="P19" s="274">
        <f t="shared" si="4"/>
        <v>807.20400000000018</v>
      </c>
      <c r="Q19" s="291">
        <f t="shared" si="5"/>
        <v>5.66</v>
      </c>
      <c r="X19" s="194"/>
    </row>
    <row r="20" spans="2:24" s="121" customFormat="1" ht="12" x14ac:dyDescent="0.2">
      <c r="B20" s="120"/>
      <c r="C20" s="56" t="s">
        <v>112</v>
      </c>
      <c r="D20" s="56" t="s">
        <v>96</v>
      </c>
      <c r="E20" s="57" t="s">
        <v>155</v>
      </c>
      <c r="F20" s="58" t="s">
        <v>156</v>
      </c>
      <c r="G20" s="59" t="s">
        <v>150</v>
      </c>
      <c r="H20" s="60">
        <v>22.67</v>
      </c>
      <c r="I20" s="61">
        <v>257.77999999999997</v>
      </c>
      <c r="J20" s="60">
        <v>5843.9</v>
      </c>
      <c r="K20" s="68">
        <f t="shared" si="6"/>
        <v>-7.0000000000000007E-2</v>
      </c>
      <c r="L20" s="69">
        <f t="shared" si="0"/>
        <v>257.77999999999997</v>
      </c>
      <c r="M20" s="273">
        <f t="shared" si="1"/>
        <v>-18.044599999999999</v>
      </c>
      <c r="N20" s="71">
        <f t="shared" si="2"/>
        <v>22.6</v>
      </c>
      <c r="O20" s="72">
        <f t="shared" si="3"/>
        <v>257.77999999999997</v>
      </c>
      <c r="P20" s="274">
        <f t="shared" si="4"/>
        <v>5825.8279999999995</v>
      </c>
      <c r="Q20" s="291">
        <f t="shared" si="5"/>
        <v>23.34</v>
      </c>
      <c r="X20" s="194"/>
    </row>
    <row r="21" spans="2:24" s="121" customFormat="1" ht="12" x14ac:dyDescent="0.2">
      <c r="B21" s="120"/>
      <c r="C21" s="56" t="s">
        <v>115</v>
      </c>
      <c r="D21" s="56" t="s">
        <v>96</v>
      </c>
      <c r="E21" s="57" t="s">
        <v>157</v>
      </c>
      <c r="F21" s="58" t="s">
        <v>158</v>
      </c>
      <c r="G21" s="59" t="s">
        <v>150</v>
      </c>
      <c r="H21" s="60">
        <v>116.06</v>
      </c>
      <c r="I21" s="61">
        <v>257.77999999999997</v>
      </c>
      <c r="J21" s="60">
        <v>29917.9</v>
      </c>
      <c r="K21" s="68">
        <f t="shared" si="6"/>
        <v>-0.35</v>
      </c>
      <c r="L21" s="69">
        <f t="shared" si="0"/>
        <v>257.77999999999997</v>
      </c>
      <c r="M21" s="273">
        <f t="shared" si="1"/>
        <v>-90.222999999999985</v>
      </c>
      <c r="N21" s="71">
        <f t="shared" si="2"/>
        <v>115.71000000000001</v>
      </c>
      <c r="O21" s="72">
        <f t="shared" si="3"/>
        <v>257.77999999999997</v>
      </c>
      <c r="P21" s="274">
        <f t="shared" si="4"/>
        <v>29827.7238</v>
      </c>
      <c r="Q21" s="291">
        <f t="shared" si="5"/>
        <v>119.5</v>
      </c>
      <c r="X21" s="194"/>
    </row>
    <row r="22" spans="2:24" s="121" customFormat="1" ht="12" x14ac:dyDescent="0.2">
      <c r="B22" s="120"/>
      <c r="C22" s="56" t="s">
        <v>118</v>
      </c>
      <c r="D22" s="56" t="s">
        <v>96</v>
      </c>
      <c r="E22" s="57" t="s">
        <v>160</v>
      </c>
      <c r="F22" s="58" t="s">
        <v>161</v>
      </c>
      <c r="G22" s="59" t="s">
        <v>150</v>
      </c>
      <c r="H22" s="60">
        <v>34.82</v>
      </c>
      <c r="I22" s="61">
        <v>13.15</v>
      </c>
      <c r="J22" s="60">
        <v>457.9</v>
      </c>
      <c r="K22" s="68">
        <f t="shared" si="6"/>
        <v>-0.11</v>
      </c>
      <c r="L22" s="69">
        <f t="shared" si="0"/>
        <v>13.15</v>
      </c>
      <c r="M22" s="273">
        <f t="shared" si="1"/>
        <v>-1.4465000000000001</v>
      </c>
      <c r="N22" s="71">
        <f t="shared" si="2"/>
        <v>34.71</v>
      </c>
      <c r="O22" s="72">
        <f t="shared" si="3"/>
        <v>13.15</v>
      </c>
      <c r="P22" s="274">
        <f t="shared" si="4"/>
        <v>456.43650000000002</v>
      </c>
      <c r="Q22" s="291">
        <f t="shared" si="5"/>
        <v>35.85</v>
      </c>
      <c r="X22" s="194"/>
    </row>
    <row r="23" spans="2:24" s="121" customFormat="1" ht="12" x14ac:dyDescent="0.2">
      <c r="B23" s="120"/>
      <c r="C23" s="56" t="s">
        <v>121</v>
      </c>
      <c r="D23" s="56" t="s">
        <v>96</v>
      </c>
      <c r="E23" s="57" t="s">
        <v>163</v>
      </c>
      <c r="F23" s="58" t="s">
        <v>164</v>
      </c>
      <c r="G23" s="59" t="s">
        <v>150</v>
      </c>
      <c r="H23" s="60">
        <v>68.790000000000006</v>
      </c>
      <c r="I23" s="61">
        <v>315.64999999999998</v>
      </c>
      <c r="J23" s="60">
        <v>21713.599999999999</v>
      </c>
      <c r="K23" s="68">
        <f t="shared" si="6"/>
        <v>-0.21</v>
      </c>
      <c r="L23" s="69">
        <f t="shared" si="0"/>
        <v>315.64999999999998</v>
      </c>
      <c r="M23" s="273">
        <f t="shared" si="1"/>
        <v>-66.28649999999999</v>
      </c>
      <c r="N23" s="71">
        <f t="shared" si="2"/>
        <v>68.580000000000013</v>
      </c>
      <c r="O23" s="72">
        <f t="shared" si="3"/>
        <v>315.64999999999998</v>
      </c>
      <c r="P23" s="274">
        <f t="shared" si="4"/>
        <v>21647.277000000002</v>
      </c>
      <c r="Q23" s="291">
        <f t="shared" si="5"/>
        <v>70.83</v>
      </c>
      <c r="X23" s="194"/>
    </row>
    <row r="24" spans="2:24" s="121" customFormat="1" ht="12" x14ac:dyDescent="0.2">
      <c r="B24" s="120"/>
      <c r="C24" s="56" t="s">
        <v>124</v>
      </c>
      <c r="D24" s="56" t="s">
        <v>96</v>
      </c>
      <c r="E24" s="57" t="s">
        <v>166</v>
      </c>
      <c r="F24" s="58" t="s">
        <v>167</v>
      </c>
      <c r="G24" s="59" t="s">
        <v>150</v>
      </c>
      <c r="H24" s="60">
        <v>20.64</v>
      </c>
      <c r="I24" s="61">
        <v>15.78</v>
      </c>
      <c r="J24" s="60">
        <v>325.7</v>
      </c>
      <c r="K24" s="68">
        <f t="shared" si="6"/>
        <v>-0.06</v>
      </c>
      <c r="L24" s="69">
        <f t="shared" si="0"/>
        <v>15.78</v>
      </c>
      <c r="M24" s="273">
        <f t="shared" si="1"/>
        <v>-0.94679999999999997</v>
      </c>
      <c r="N24" s="71">
        <f t="shared" si="2"/>
        <v>20.580000000000002</v>
      </c>
      <c r="O24" s="72">
        <f t="shared" si="3"/>
        <v>15.78</v>
      </c>
      <c r="P24" s="274">
        <f t="shared" si="4"/>
        <v>324.75240000000002</v>
      </c>
      <c r="Q24" s="291">
        <f t="shared" si="5"/>
        <v>21.25</v>
      </c>
      <c r="R24" s="186" t="s">
        <v>1023</v>
      </c>
      <c r="S24" s="121" t="s">
        <v>925</v>
      </c>
      <c r="X24" s="194"/>
    </row>
    <row r="25" spans="2:24" s="121" customFormat="1" ht="12" x14ac:dyDescent="0.2">
      <c r="B25" s="120"/>
      <c r="C25" s="56" t="s">
        <v>127</v>
      </c>
      <c r="D25" s="56" t="s">
        <v>96</v>
      </c>
      <c r="E25" s="57" t="s">
        <v>169</v>
      </c>
      <c r="F25" s="58" t="s">
        <v>170</v>
      </c>
      <c r="G25" s="59" t="s">
        <v>150</v>
      </c>
      <c r="H25" s="60">
        <v>127.59</v>
      </c>
      <c r="I25" s="61">
        <v>837.79</v>
      </c>
      <c r="J25" s="60">
        <v>106893.6</v>
      </c>
      <c r="K25" s="68">
        <f t="shared" si="6"/>
        <v>-0.39</v>
      </c>
      <c r="L25" s="69">
        <f t="shared" si="0"/>
        <v>837.79</v>
      </c>
      <c r="M25" s="273">
        <f t="shared" si="1"/>
        <v>-326.73809999999997</v>
      </c>
      <c r="N25" s="71">
        <f t="shared" si="2"/>
        <v>127.2</v>
      </c>
      <c r="O25" s="72">
        <f t="shared" si="3"/>
        <v>837.79</v>
      </c>
      <c r="P25" s="274">
        <f t="shared" si="4"/>
        <v>106566.88799999999</v>
      </c>
      <c r="Q25" s="291">
        <f t="shared" si="5"/>
        <v>131.37</v>
      </c>
      <c r="X25" s="194"/>
    </row>
    <row r="26" spans="2:24" s="121" customFormat="1" ht="12" x14ac:dyDescent="0.2">
      <c r="B26" s="120"/>
      <c r="C26" s="56" t="s">
        <v>130</v>
      </c>
      <c r="D26" s="56" t="s">
        <v>96</v>
      </c>
      <c r="E26" s="57" t="s">
        <v>172</v>
      </c>
      <c r="F26" s="58" t="s">
        <v>173</v>
      </c>
      <c r="G26" s="59" t="s">
        <v>150</v>
      </c>
      <c r="H26" s="60">
        <v>71.87</v>
      </c>
      <c r="I26" s="61">
        <v>1116.6199999999999</v>
      </c>
      <c r="J26" s="60">
        <v>80251.5</v>
      </c>
      <c r="K26" s="68">
        <f t="shared" si="6"/>
        <v>-0.22</v>
      </c>
      <c r="L26" s="69">
        <f t="shared" si="0"/>
        <v>1116.6199999999999</v>
      </c>
      <c r="M26" s="273">
        <f t="shared" si="1"/>
        <v>-245.65639999999999</v>
      </c>
      <c r="N26" s="71">
        <f t="shared" si="2"/>
        <v>71.650000000000006</v>
      </c>
      <c r="O26" s="72">
        <f t="shared" si="3"/>
        <v>1116.6199999999999</v>
      </c>
      <c r="P26" s="274">
        <f t="shared" si="4"/>
        <v>80005.823000000004</v>
      </c>
      <c r="Q26" s="291">
        <f t="shared" si="5"/>
        <v>74</v>
      </c>
      <c r="X26" s="194"/>
    </row>
    <row r="27" spans="2:24" s="121" customFormat="1" ht="12" x14ac:dyDescent="0.2">
      <c r="B27" s="120"/>
      <c r="C27" s="56" t="s">
        <v>134</v>
      </c>
      <c r="D27" s="56" t="s">
        <v>96</v>
      </c>
      <c r="E27" s="57" t="s">
        <v>175</v>
      </c>
      <c r="F27" s="58" t="s">
        <v>176</v>
      </c>
      <c r="G27" s="59" t="s">
        <v>108</v>
      </c>
      <c r="H27" s="60">
        <v>798.5</v>
      </c>
      <c r="I27" s="61">
        <v>99.96</v>
      </c>
      <c r="J27" s="60">
        <v>79818.100000000006</v>
      </c>
      <c r="K27" s="68">
        <f t="shared" si="6"/>
        <v>-2.4300000000000002</v>
      </c>
      <c r="L27" s="69">
        <f t="shared" si="0"/>
        <v>99.96</v>
      </c>
      <c r="M27" s="273">
        <f t="shared" si="1"/>
        <v>-242.90280000000001</v>
      </c>
      <c r="N27" s="71">
        <f t="shared" si="2"/>
        <v>796.07</v>
      </c>
      <c r="O27" s="72">
        <f t="shared" si="3"/>
        <v>99.96</v>
      </c>
      <c r="P27" s="274">
        <f t="shared" si="4"/>
        <v>79575.157200000001</v>
      </c>
      <c r="Q27" s="291">
        <f t="shared" si="5"/>
        <v>822.19</v>
      </c>
      <c r="X27" s="194"/>
    </row>
    <row r="28" spans="2:24" s="121" customFormat="1" ht="12" x14ac:dyDescent="0.2">
      <c r="B28" s="120"/>
      <c r="C28" s="56" t="s">
        <v>2</v>
      </c>
      <c r="D28" s="56" t="s">
        <v>96</v>
      </c>
      <c r="E28" s="57" t="s">
        <v>181</v>
      </c>
      <c r="F28" s="58" t="s">
        <v>182</v>
      </c>
      <c r="G28" s="59" t="s">
        <v>108</v>
      </c>
      <c r="H28" s="60">
        <v>798.5</v>
      </c>
      <c r="I28" s="61">
        <v>149.94</v>
      </c>
      <c r="J28" s="60">
        <v>119727.1</v>
      </c>
      <c r="K28" s="68">
        <f t="shared" si="6"/>
        <v>-2.4300000000000002</v>
      </c>
      <c r="L28" s="69">
        <f t="shared" si="0"/>
        <v>149.94</v>
      </c>
      <c r="M28" s="273">
        <f t="shared" si="1"/>
        <v>-364.35419999999999</v>
      </c>
      <c r="N28" s="71">
        <f t="shared" si="2"/>
        <v>796.07</v>
      </c>
      <c r="O28" s="72">
        <f t="shared" si="3"/>
        <v>149.94</v>
      </c>
      <c r="P28" s="274">
        <f t="shared" si="4"/>
        <v>119362.73580000001</v>
      </c>
      <c r="Q28" s="291">
        <f t="shared" si="5"/>
        <v>822.19</v>
      </c>
      <c r="X28" s="194"/>
    </row>
    <row r="29" spans="2:24" s="121" customFormat="1" ht="12" x14ac:dyDescent="0.2">
      <c r="B29" s="120"/>
      <c r="C29" s="56" t="s">
        <v>141</v>
      </c>
      <c r="D29" s="56" t="s">
        <v>96</v>
      </c>
      <c r="E29" s="57" t="s">
        <v>187</v>
      </c>
      <c r="F29" s="58" t="s">
        <v>188</v>
      </c>
      <c r="G29" s="59" t="s">
        <v>150</v>
      </c>
      <c r="H29" s="60">
        <v>626.84</v>
      </c>
      <c r="I29" s="61">
        <v>97.52</v>
      </c>
      <c r="J29" s="60">
        <v>61129.4</v>
      </c>
      <c r="K29" s="68">
        <f t="shared" si="6"/>
        <v>-1.91</v>
      </c>
      <c r="L29" s="69">
        <f t="shared" si="0"/>
        <v>97.52</v>
      </c>
      <c r="M29" s="273">
        <f t="shared" si="1"/>
        <v>-186.26319999999998</v>
      </c>
      <c r="N29" s="71">
        <f t="shared" si="2"/>
        <v>624.93000000000006</v>
      </c>
      <c r="O29" s="72">
        <f t="shared" si="3"/>
        <v>97.52</v>
      </c>
      <c r="P29" s="274">
        <f t="shared" si="4"/>
        <v>60943.173600000002</v>
      </c>
      <c r="Q29" s="291">
        <f t="shared" si="5"/>
        <v>645.42999999999995</v>
      </c>
      <c r="X29" s="194"/>
    </row>
    <row r="30" spans="2:24" s="121" customFormat="1" ht="12" x14ac:dyDescent="0.2">
      <c r="B30" s="120"/>
      <c r="C30" s="56" t="s">
        <v>144</v>
      </c>
      <c r="D30" s="56" t="s">
        <v>96</v>
      </c>
      <c r="E30" s="57" t="s">
        <v>190</v>
      </c>
      <c r="F30" s="58" t="s">
        <v>191</v>
      </c>
      <c r="G30" s="59" t="s">
        <v>150</v>
      </c>
      <c r="H30" s="60">
        <v>141.22</v>
      </c>
      <c r="I30" s="61">
        <v>247.39</v>
      </c>
      <c r="J30" s="60">
        <v>34936.400000000001</v>
      </c>
      <c r="K30" s="68">
        <f t="shared" si="6"/>
        <v>-0.43</v>
      </c>
      <c r="L30" s="69">
        <f t="shared" si="0"/>
        <v>247.39</v>
      </c>
      <c r="M30" s="273">
        <f t="shared" si="1"/>
        <v>-106.37769999999999</v>
      </c>
      <c r="N30" s="71">
        <f t="shared" si="2"/>
        <v>140.79</v>
      </c>
      <c r="O30" s="72">
        <f t="shared" si="3"/>
        <v>247.39</v>
      </c>
      <c r="P30" s="274">
        <f t="shared" si="4"/>
        <v>34830.038099999998</v>
      </c>
      <c r="Q30" s="291">
        <f t="shared" si="5"/>
        <v>145.41</v>
      </c>
      <c r="X30" s="194"/>
    </row>
    <row r="31" spans="2:24" s="121" customFormat="1" ht="12" x14ac:dyDescent="0.2">
      <c r="B31" s="120"/>
      <c r="C31" s="56" t="s">
        <v>147</v>
      </c>
      <c r="D31" s="56" t="s">
        <v>96</v>
      </c>
      <c r="E31" s="57" t="s">
        <v>193</v>
      </c>
      <c r="F31" s="58" t="s">
        <v>194</v>
      </c>
      <c r="G31" s="59" t="s">
        <v>150</v>
      </c>
      <c r="H31" s="60">
        <v>141.22</v>
      </c>
      <c r="I31" s="61">
        <v>44.72</v>
      </c>
      <c r="J31" s="60">
        <v>6315.4</v>
      </c>
      <c r="K31" s="68">
        <f t="shared" si="6"/>
        <v>-0.43</v>
      </c>
      <c r="L31" s="69">
        <f t="shared" si="0"/>
        <v>44.72</v>
      </c>
      <c r="M31" s="273">
        <f t="shared" si="1"/>
        <v>-19.229599999999998</v>
      </c>
      <c r="N31" s="71">
        <f t="shared" si="2"/>
        <v>140.79</v>
      </c>
      <c r="O31" s="72">
        <f t="shared" si="3"/>
        <v>44.72</v>
      </c>
      <c r="P31" s="274">
        <f t="shared" si="4"/>
        <v>6296.1287999999995</v>
      </c>
      <c r="Q31" s="291">
        <f t="shared" si="5"/>
        <v>145.41</v>
      </c>
      <c r="X31" s="194"/>
    </row>
    <row r="32" spans="2:24" s="121" customFormat="1" ht="33.75" x14ac:dyDescent="0.2">
      <c r="B32" s="120"/>
      <c r="C32" s="56" t="s">
        <v>151</v>
      </c>
      <c r="D32" s="56" t="s">
        <v>96</v>
      </c>
      <c r="E32" s="57" t="s">
        <v>196</v>
      </c>
      <c r="F32" s="58" t="s">
        <v>197</v>
      </c>
      <c r="G32" s="59" t="s">
        <v>150</v>
      </c>
      <c r="H32" s="60">
        <v>141.22</v>
      </c>
      <c r="I32" s="61">
        <v>11.84</v>
      </c>
      <c r="J32" s="60">
        <v>1672</v>
      </c>
      <c r="K32" s="68">
        <f t="shared" si="6"/>
        <v>-0.43</v>
      </c>
      <c r="L32" s="69">
        <f t="shared" si="0"/>
        <v>11.84</v>
      </c>
      <c r="M32" s="273">
        <f t="shared" si="1"/>
        <v>-5.0911999999999997</v>
      </c>
      <c r="N32" s="71">
        <f t="shared" si="2"/>
        <v>140.79</v>
      </c>
      <c r="O32" s="72">
        <f t="shared" si="3"/>
        <v>11.84</v>
      </c>
      <c r="P32" s="274">
        <f t="shared" si="4"/>
        <v>1666.9535999999998</v>
      </c>
      <c r="Q32" s="291">
        <f t="shared" si="5"/>
        <v>145.41</v>
      </c>
      <c r="V32" s="190" t="s">
        <v>1053</v>
      </c>
      <c r="W32" s="121" t="s">
        <v>1055</v>
      </c>
      <c r="X32" s="194"/>
    </row>
    <row r="33" spans="2:24" s="121" customFormat="1" ht="12" x14ac:dyDescent="0.2">
      <c r="B33" s="120"/>
      <c r="C33" s="56" t="s">
        <v>154</v>
      </c>
      <c r="D33" s="56" t="s">
        <v>96</v>
      </c>
      <c r="E33" s="57" t="s">
        <v>199</v>
      </c>
      <c r="F33" s="58" t="s">
        <v>200</v>
      </c>
      <c r="G33" s="59" t="s">
        <v>201</v>
      </c>
      <c r="H33" s="60">
        <v>282.44</v>
      </c>
      <c r="I33" s="61">
        <v>116</v>
      </c>
      <c r="J33" s="60">
        <v>32763</v>
      </c>
      <c r="K33" s="68">
        <f t="shared" si="6"/>
        <v>-0.86</v>
      </c>
      <c r="L33" s="69">
        <f t="shared" si="0"/>
        <v>116</v>
      </c>
      <c r="M33" s="273">
        <f t="shared" si="1"/>
        <v>-99.76</v>
      </c>
      <c r="N33" s="71">
        <f t="shared" si="2"/>
        <v>281.58</v>
      </c>
      <c r="O33" s="72">
        <f t="shared" si="3"/>
        <v>116</v>
      </c>
      <c r="P33" s="274">
        <f t="shared" si="4"/>
        <v>32663.279999999999</v>
      </c>
      <c r="Q33" s="291">
        <f t="shared" si="5"/>
        <v>290.82</v>
      </c>
      <c r="X33" s="194"/>
    </row>
    <row r="34" spans="2:24" s="121" customFormat="1" ht="12" x14ac:dyDescent="0.2">
      <c r="B34" s="120"/>
      <c r="C34" s="56" t="s">
        <v>1</v>
      </c>
      <c r="D34" s="56" t="s">
        <v>96</v>
      </c>
      <c r="E34" s="57" t="s">
        <v>203</v>
      </c>
      <c r="F34" s="58" t="s">
        <v>204</v>
      </c>
      <c r="G34" s="59" t="s">
        <v>150</v>
      </c>
      <c r="H34" s="60">
        <v>242.53</v>
      </c>
      <c r="I34" s="61">
        <v>143.36000000000001</v>
      </c>
      <c r="J34" s="60">
        <v>34769.1</v>
      </c>
      <c r="K34" s="68">
        <f t="shared" si="6"/>
        <v>-0.74</v>
      </c>
      <c r="L34" s="69">
        <f t="shared" si="0"/>
        <v>143.36000000000001</v>
      </c>
      <c r="M34" s="273">
        <f t="shared" si="1"/>
        <v>-106.08640000000001</v>
      </c>
      <c r="N34" s="71">
        <f t="shared" si="2"/>
        <v>241.79</v>
      </c>
      <c r="O34" s="72">
        <f t="shared" si="3"/>
        <v>143.36000000000001</v>
      </c>
      <c r="P34" s="274">
        <f t="shared" si="4"/>
        <v>34663.0144</v>
      </c>
      <c r="Q34" s="291">
        <f t="shared" si="5"/>
        <v>249.72</v>
      </c>
      <c r="X34" s="194"/>
    </row>
    <row r="35" spans="2:24" s="121" customFormat="1" ht="12" x14ac:dyDescent="0.2">
      <c r="B35" s="120"/>
      <c r="C35" s="56" t="s">
        <v>159</v>
      </c>
      <c r="D35" s="56" t="s">
        <v>96</v>
      </c>
      <c r="E35" s="57" t="s">
        <v>206</v>
      </c>
      <c r="F35" s="58" t="s">
        <v>207</v>
      </c>
      <c r="G35" s="59" t="s">
        <v>150</v>
      </c>
      <c r="H35" s="60">
        <v>97.43</v>
      </c>
      <c r="I35" s="61">
        <v>318.27999999999997</v>
      </c>
      <c r="J35" s="60">
        <v>31010</v>
      </c>
      <c r="K35" s="68">
        <f t="shared" si="6"/>
        <v>-0.3</v>
      </c>
      <c r="L35" s="69">
        <f t="shared" si="0"/>
        <v>318.27999999999997</v>
      </c>
      <c r="M35" s="273">
        <f t="shared" si="1"/>
        <v>-95.483999999999995</v>
      </c>
      <c r="N35" s="71">
        <f t="shared" si="2"/>
        <v>97.13000000000001</v>
      </c>
      <c r="O35" s="72">
        <f t="shared" si="3"/>
        <v>318.27999999999997</v>
      </c>
      <c r="P35" s="274">
        <f t="shared" si="4"/>
        <v>30914.536400000001</v>
      </c>
      <c r="Q35" s="291">
        <f t="shared" si="5"/>
        <v>100.32</v>
      </c>
      <c r="X35" s="194"/>
    </row>
    <row r="36" spans="2:24" s="121" customFormat="1" ht="12" x14ac:dyDescent="0.2">
      <c r="B36" s="120"/>
      <c r="C36" s="73" t="s">
        <v>162</v>
      </c>
      <c r="D36" s="73" t="s">
        <v>209</v>
      </c>
      <c r="E36" s="74" t="s">
        <v>210</v>
      </c>
      <c r="F36" s="75" t="s">
        <v>211</v>
      </c>
      <c r="G36" s="76" t="s">
        <v>201</v>
      </c>
      <c r="H36" s="77">
        <v>194.86</v>
      </c>
      <c r="I36" s="78">
        <v>172.71</v>
      </c>
      <c r="J36" s="77">
        <v>33654.300000000003</v>
      </c>
      <c r="K36" s="68">
        <f t="shared" si="6"/>
        <v>-0.59</v>
      </c>
      <c r="L36" s="69">
        <f t="shared" si="0"/>
        <v>172.71</v>
      </c>
      <c r="M36" s="273">
        <f t="shared" si="1"/>
        <v>-101.8989</v>
      </c>
      <c r="N36" s="71">
        <f t="shared" si="2"/>
        <v>194.27</v>
      </c>
      <c r="O36" s="72">
        <f t="shared" si="3"/>
        <v>172.71</v>
      </c>
      <c r="P36" s="274">
        <f t="shared" si="4"/>
        <v>33552.371700000003</v>
      </c>
      <c r="Q36" s="291">
        <f t="shared" si="5"/>
        <v>200.64</v>
      </c>
      <c r="X36" s="194"/>
    </row>
    <row r="37" spans="2:24" s="170" customFormat="1" ht="12.75" x14ac:dyDescent="0.2">
      <c r="B37" s="165"/>
      <c r="C37" s="252"/>
      <c r="D37" s="253" t="s">
        <v>4</v>
      </c>
      <c r="E37" s="254" t="s">
        <v>13</v>
      </c>
      <c r="F37" s="254" t="s">
        <v>222</v>
      </c>
      <c r="G37" s="252"/>
      <c r="H37" s="252"/>
      <c r="I37" s="255"/>
      <c r="J37" s="256">
        <f>+SUBTOTAL(9,J38:J39)</f>
        <v>6491.9</v>
      </c>
      <c r="K37" s="292"/>
      <c r="L37" s="262"/>
      <c r="M37" s="279">
        <f>SUM(M38:M39)</f>
        <v>-19.73</v>
      </c>
      <c r="N37" s="280"/>
      <c r="O37" s="262"/>
      <c r="P37" s="279">
        <f>SUM(P38:P39)</f>
        <v>6472.2292000000016</v>
      </c>
      <c r="Q37" s="291">
        <f t="shared" si="5"/>
        <v>0</v>
      </c>
      <c r="W37" s="121"/>
      <c r="X37" s="194"/>
    </row>
    <row r="38" spans="2:24" s="121" customFormat="1" ht="12" x14ac:dyDescent="0.2">
      <c r="B38" s="120"/>
      <c r="C38" s="56" t="s">
        <v>165</v>
      </c>
      <c r="D38" s="56" t="s">
        <v>96</v>
      </c>
      <c r="E38" s="57" t="s">
        <v>224</v>
      </c>
      <c r="F38" s="58" t="s">
        <v>225</v>
      </c>
      <c r="G38" s="59" t="s">
        <v>133</v>
      </c>
      <c r="H38" s="60">
        <v>164.52</v>
      </c>
      <c r="I38" s="61">
        <v>32.880000000000003</v>
      </c>
      <c r="J38" s="60">
        <v>5409.4</v>
      </c>
      <c r="K38" s="68">
        <f t="shared" si="6"/>
        <v>-0.5</v>
      </c>
      <c r="L38" s="69">
        <f t="shared" si="0"/>
        <v>32.880000000000003</v>
      </c>
      <c r="M38" s="273">
        <f t="shared" si="1"/>
        <v>-16.440000000000001</v>
      </c>
      <c r="N38" s="71">
        <f t="shared" si="2"/>
        <v>164.02</v>
      </c>
      <c r="O38" s="72">
        <f t="shared" si="3"/>
        <v>32.880000000000003</v>
      </c>
      <c r="P38" s="274">
        <f t="shared" si="4"/>
        <v>5392.9776000000011</v>
      </c>
      <c r="Q38" s="291">
        <f t="shared" si="5"/>
        <v>169.4</v>
      </c>
      <c r="X38" s="194"/>
    </row>
    <row r="39" spans="2:24" s="121" customFormat="1" ht="12" x14ac:dyDescent="0.2">
      <c r="B39" s="120"/>
      <c r="C39" s="56" t="s">
        <v>168</v>
      </c>
      <c r="D39" s="56" t="s">
        <v>96</v>
      </c>
      <c r="E39" s="57" t="s">
        <v>227</v>
      </c>
      <c r="F39" s="58" t="s">
        <v>228</v>
      </c>
      <c r="G39" s="59" t="s">
        <v>133</v>
      </c>
      <c r="H39" s="60">
        <v>164.52</v>
      </c>
      <c r="I39" s="61">
        <v>6.58</v>
      </c>
      <c r="J39" s="60">
        <v>1082.5</v>
      </c>
      <c r="K39" s="68">
        <f t="shared" si="6"/>
        <v>-0.5</v>
      </c>
      <c r="L39" s="69">
        <f t="shared" si="0"/>
        <v>6.58</v>
      </c>
      <c r="M39" s="273">
        <f t="shared" si="1"/>
        <v>-3.29</v>
      </c>
      <c r="N39" s="71">
        <f t="shared" si="2"/>
        <v>164.02</v>
      </c>
      <c r="O39" s="72">
        <f t="shared" si="3"/>
        <v>6.58</v>
      </c>
      <c r="P39" s="274">
        <f t="shared" si="4"/>
        <v>1079.2516000000001</v>
      </c>
      <c r="Q39" s="291">
        <f t="shared" si="5"/>
        <v>169.4</v>
      </c>
      <c r="X39" s="194"/>
    </row>
    <row r="40" spans="2:24" s="170" customFormat="1" ht="12.75" x14ac:dyDescent="0.2">
      <c r="B40" s="165"/>
      <c r="C40" s="252"/>
      <c r="D40" s="253" t="s">
        <v>4</v>
      </c>
      <c r="E40" s="254" t="s">
        <v>100</v>
      </c>
      <c r="F40" s="254" t="s">
        <v>229</v>
      </c>
      <c r="G40" s="252"/>
      <c r="H40" s="252"/>
      <c r="I40" s="255"/>
      <c r="J40" s="256">
        <f>+SUBTOTAL(9,J41:J46)</f>
        <v>74938.600000000006</v>
      </c>
      <c r="K40" s="292"/>
      <c r="L40" s="262"/>
      <c r="M40" s="279">
        <f>SUM(M41:M46)</f>
        <v>-226.23089999999999</v>
      </c>
      <c r="N40" s="280"/>
      <c r="O40" s="262"/>
      <c r="P40" s="279">
        <f>SUM(P41:P46)</f>
        <v>74712.392399999997</v>
      </c>
      <c r="Q40" s="291">
        <f t="shared" si="5"/>
        <v>0</v>
      </c>
      <c r="W40" s="121"/>
      <c r="X40" s="194"/>
    </row>
    <row r="41" spans="2:24" s="121" customFormat="1" ht="12" x14ac:dyDescent="0.2">
      <c r="B41" s="120"/>
      <c r="C41" s="56" t="s">
        <v>171</v>
      </c>
      <c r="D41" s="56" t="s">
        <v>96</v>
      </c>
      <c r="E41" s="57" t="s">
        <v>231</v>
      </c>
      <c r="F41" s="58" t="s">
        <v>232</v>
      </c>
      <c r="G41" s="59" t="s">
        <v>99</v>
      </c>
      <c r="H41" s="60">
        <v>1</v>
      </c>
      <c r="I41" s="61">
        <v>122.32</v>
      </c>
      <c r="J41" s="60">
        <v>122.3</v>
      </c>
      <c r="K41" s="68">
        <f t="shared" si="6"/>
        <v>0</v>
      </c>
      <c r="L41" s="69">
        <f t="shared" si="0"/>
        <v>122.32</v>
      </c>
      <c r="M41" s="273">
        <f t="shared" si="1"/>
        <v>0</v>
      </c>
      <c r="N41" s="71">
        <f t="shared" si="2"/>
        <v>1</v>
      </c>
      <c r="O41" s="72">
        <f t="shared" si="3"/>
        <v>122.32</v>
      </c>
      <c r="P41" s="274">
        <f t="shared" si="4"/>
        <v>122.32</v>
      </c>
      <c r="Q41" s="291">
        <f t="shared" si="5"/>
        <v>1.03</v>
      </c>
      <c r="X41" s="194"/>
    </row>
    <row r="42" spans="2:24" s="121" customFormat="1" ht="12" x14ac:dyDescent="0.2">
      <c r="B42" s="120"/>
      <c r="C42" s="73" t="s">
        <v>174</v>
      </c>
      <c r="D42" s="73" t="s">
        <v>209</v>
      </c>
      <c r="E42" s="74" t="s">
        <v>237</v>
      </c>
      <c r="F42" s="75" t="s">
        <v>238</v>
      </c>
      <c r="G42" s="76" t="s">
        <v>99</v>
      </c>
      <c r="H42" s="77">
        <v>1</v>
      </c>
      <c r="I42" s="78">
        <v>313.02</v>
      </c>
      <c r="J42" s="77">
        <v>313</v>
      </c>
      <c r="K42" s="68">
        <f t="shared" si="6"/>
        <v>0</v>
      </c>
      <c r="L42" s="69">
        <f t="shared" si="0"/>
        <v>313.02</v>
      </c>
      <c r="M42" s="273">
        <f t="shared" si="1"/>
        <v>0</v>
      </c>
      <c r="N42" s="71">
        <f t="shared" si="2"/>
        <v>1</v>
      </c>
      <c r="O42" s="72">
        <f t="shared" si="3"/>
        <v>313.02</v>
      </c>
      <c r="P42" s="274">
        <f t="shared" si="4"/>
        <v>313.02</v>
      </c>
      <c r="Q42" s="291">
        <f t="shared" si="5"/>
        <v>1.03</v>
      </c>
      <c r="X42" s="194"/>
    </row>
    <row r="43" spans="2:24" s="121" customFormat="1" ht="12" x14ac:dyDescent="0.2">
      <c r="B43" s="120"/>
      <c r="C43" s="56" t="s">
        <v>177</v>
      </c>
      <c r="D43" s="56" t="s">
        <v>96</v>
      </c>
      <c r="E43" s="57" t="s">
        <v>246</v>
      </c>
      <c r="F43" s="58" t="s">
        <v>247</v>
      </c>
      <c r="G43" s="59" t="s">
        <v>99</v>
      </c>
      <c r="H43" s="60">
        <v>1</v>
      </c>
      <c r="I43" s="61">
        <v>152.57</v>
      </c>
      <c r="J43" s="60">
        <v>152.6</v>
      </c>
      <c r="K43" s="68">
        <f t="shared" si="6"/>
        <v>0</v>
      </c>
      <c r="L43" s="69">
        <f t="shared" si="0"/>
        <v>152.57</v>
      </c>
      <c r="M43" s="273">
        <f t="shared" si="1"/>
        <v>0</v>
      </c>
      <c r="N43" s="71">
        <f t="shared" si="2"/>
        <v>1</v>
      </c>
      <c r="O43" s="72">
        <f t="shared" si="3"/>
        <v>152.57</v>
      </c>
      <c r="P43" s="274">
        <f t="shared" si="4"/>
        <v>152.57</v>
      </c>
      <c r="Q43" s="291">
        <f t="shared" si="5"/>
        <v>1.03</v>
      </c>
      <c r="X43" s="194"/>
    </row>
    <row r="44" spans="2:24" s="121" customFormat="1" ht="12" x14ac:dyDescent="0.2">
      <c r="B44" s="120"/>
      <c r="C44" s="73" t="s">
        <v>180</v>
      </c>
      <c r="D44" s="73" t="s">
        <v>209</v>
      </c>
      <c r="E44" s="74" t="s">
        <v>249</v>
      </c>
      <c r="F44" s="75" t="s">
        <v>250</v>
      </c>
      <c r="G44" s="76" t="s">
        <v>99</v>
      </c>
      <c r="H44" s="77">
        <v>1</v>
      </c>
      <c r="I44" s="78">
        <v>395.88</v>
      </c>
      <c r="J44" s="77">
        <v>395.9</v>
      </c>
      <c r="K44" s="68">
        <f t="shared" si="6"/>
        <v>0</v>
      </c>
      <c r="L44" s="69">
        <f t="shared" si="0"/>
        <v>395.88</v>
      </c>
      <c r="M44" s="273">
        <f t="shared" si="1"/>
        <v>0</v>
      </c>
      <c r="N44" s="71">
        <f t="shared" si="2"/>
        <v>1</v>
      </c>
      <c r="O44" s="72">
        <f t="shared" si="3"/>
        <v>395.88</v>
      </c>
      <c r="P44" s="274">
        <f t="shared" si="4"/>
        <v>395.88</v>
      </c>
      <c r="Q44" s="291">
        <f t="shared" si="5"/>
        <v>1.03</v>
      </c>
      <c r="X44" s="194"/>
    </row>
    <row r="45" spans="2:24" s="121" customFormat="1" ht="12" x14ac:dyDescent="0.2">
      <c r="B45" s="120"/>
      <c r="C45" s="56" t="s">
        <v>183</v>
      </c>
      <c r="D45" s="56" t="s">
        <v>96</v>
      </c>
      <c r="E45" s="57" t="s">
        <v>252</v>
      </c>
      <c r="F45" s="58" t="s">
        <v>253</v>
      </c>
      <c r="G45" s="59" t="s">
        <v>150</v>
      </c>
      <c r="H45" s="60">
        <v>21.05</v>
      </c>
      <c r="I45" s="61">
        <v>3239.16</v>
      </c>
      <c r="J45" s="60">
        <v>68184.3</v>
      </c>
      <c r="K45" s="68">
        <f t="shared" si="6"/>
        <v>-0.06</v>
      </c>
      <c r="L45" s="69">
        <f t="shared" si="0"/>
        <v>3239.16</v>
      </c>
      <c r="M45" s="273">
        <f t="shared" si="1"/>
        <v>-194.34959999999998</v>
      </c>
      <c r="N45" s="71">
        <f t="shared" si="2"/>
        <v>20.990000000000002</v>
      </c>
      <c r="O45" s="72">
        <f t="shared" si="3"/>
        <v>3239.16</v>
      </c>
      <c r="P45" s="274">
        <f t="shared" si="4"/>
        <v>67989.968399999998</v>
      </c>
      <c r="Q45" s="291">
        <f t="shared" si="5"/>
        <v>21.67</v>
      </c>
      <c r="X45" s="194"/>
    </row>
    <row r="46" spans="2:24" s="121" customFormat="1" ht="29.25" customHeight="1" x14ac:dyDescent="0.2">
      <c r="B46" s="120"/>
      <c r="C46" s="56" t="s">
        <v>186</v>
      </c>
      <c r="D46" s="56" t="s">
        <v>96</v>
      </c>
      <c r="E46" s="57" t="s">
        <v>255</v>
      </c>
      <c r="F46" s="58" t="s">
        <v>256</v>
      </c>
      <c r="G46" s="59" t="s">
        <v>150</v>
      </c>
      <c r="H46" s="60">
        <v>1.81</v>
      </c>
      <c r="I46" s="61">
        <v>3188.13</v>
      </c>
      <c r="J46" s="60">
        <v>5770.5</v>
      </c>
      <c r="K46" s="68">
        <f t="shared" si="6"/>
        <v>-0.01</v>
      </c>
      <c r="L46" s="69">
        <f t="shared" si="0"/>
        <v>3188.13</v>
      </c>
      <c r="M46" s="273">
        <f t="shared" si="1"/>
        <v>-31.881300000000003</v>
      </c>
      <c r="N46" s="71">
        <f t="shared" si="2"/>
        <v>1.8</v>
      </c>
      <c r="O46" s="72">
        <f t="shared" si="3"/>
        <v>3188.13</v>
      </c>
      <c r="P46" s="274">
        <f t="shared" si="4"/>
        <v>5738.634</v>
      </c>
      <c r="Q46" s="291">
        <f t="shared" si="5"/>
        <v>1.86</v>
      </c>
      <c r="R46" s="190" t="s">
        <v>1011</v>
      </c>
      <c r="S46" s="188" t="s">
        <v>1032</v>
      </c>
      <c r="X46" s="194"/>
    </row>
    <row r="47" spans="2:24" s="170" customFormat="1" ht="12.75" x14ac:dyDescent="0.2">
      <c r="B47" s="165"/>
      <c r="C47" s="252"/>
      <c r="D47" s="253" t="s">
        <v>4</v>
      </c>
      <c r="E47" s="254" t="s">
        <v>105</v>
      </c>
      <c r="F47" s="254" t="s">
        <v>257</v>
      </c>
      <c r="G47" s="252"/>
      <c r="H47" s="252"/>
      <c r="I47" s="255"/>
      <c r="J47" s="256">
        <f>+SUBTOTAL(9,J48:J52)</f>
        <v>311622</v>
      </c>
      <c r="K47" s="261"/>
      <c r="L47" s="262"/>
      <c r="M47" s="279">
        <f>SUM(M48:M52)</f>
        <v>0</v>
      </c>
      <c r="N47" s="280"/>
      <c r="O47" s="262"/>
      <c r="P47" s="279">
        <f>SUM(P48:P52)</f>
        <v>311622.0834</v>
      </c>
      <c r="Q47" s="291">
        <f t="shared" si="5"/>
        <v>0</v>
      </c>
      <c r="W47" s="121"/>
      <c r="X47" s="194"/>
    </row>
    <row r="48" spans="2:24" s="121" customFormat="1" ht="12" x14ac:dyDescent="0.2">
      <c r="B48" s="120"/>
      <c r="C48" s="56" t="s">
        <v>189</v>
      </c>
      <c r="D48" s="56" t="s">
        <v>96</v>
      </c>
      <c r="E48" s="57" t="s">
        <v>262</v>
      </c>
      <c r="F48" s="58" t="s">
        <v>263</v>
      </c>
      <c r="G48" s="59" t="s">
        <v>108</v>
      </c>
      <c r="H48" s="60">
        <v>186.27</v>
      </c>
      <c r="I48" s="61">
        <v>302.54000000000002</v>
      </c>
      <c r="J48" s="60">
        <v>56354.1</v>
      </c>
      <c r="K48" s="68">
        <v>0</v>
      </c>
      <c r="L48" s="69">
        <f t="shared" si="0"/>
        <v>302.54000000000002</v>
      </c>
      <c r="M48" s="273">
        <f t="shared" si="1"/>
        <v>0</v>
      </c>
      <c r="N48" s="71">
        <f t="shared" si="2"/>
        <v>186.27</v>
      </c>
      <c r="O48" s="72">
        <f t="shared" si="3"/>
        <v>302.54000000000002</v>
      </c>
      <c r="P48" s="274">
        <f t="shared" si="4"/>
        <v>56354.125800000009</v>
      </c>
      <c r="Q48" s="291">
        <f t="shared" si="5"/>
        <v>191.8</v>
      </c>
      <c r="X48" s="194"/>
    </row>
    <row r="49" spans="2:24" s="121" customFormat="1" ht="12" x14ac:dyDescent="0.2">
      <c r="B49" s="120"/>
      <c r="C49" s="56" t="s">
        <v>192</v>
      </c>
      <c r="D49" s="56" t="s">
        <v>96</v>
      </c>
      <c r="E49" s="57" t="s">
        <v>268</v>
      </c>
      <c r="F49" s="58" t="s">
        <v>269</v>
      </c>
      <c r="G49" s="59" t="s">
        <v>108</v>
      </c>
      <c r="H49" s="60">
        <v>186.27</v>
      </c>
      <c r="I49" s="61">
        <v>14.18</v>
      </c>
      <c r="J49" s="60">
        <v>2641.3</v>
      </c>
      <c r="K49" s="68">
        <v>0</v>
      </c>
      <c r="L49" s="69">
        <f t="shared" si="0"/>
        <v>14.18</v>
      </c>
      <c r="M49" s="273">
        <f t="shared" si="1"/>
        <v>0</v>
      </c>
      <c r="N49" s="71">
        <f t="shared" si="2"/>
        <v>186.27</v>
      </c>
      <c r="O49" s="72">
        <f t="shared" si="3"/>
        <v>14.18</v>
      </c>
      <c r="P49" s="274">
        <f t="shared" si="4"/>
        <v>2641.3086000000003</v>
      </c>
      <c r="Q49" s="291">
        <f t="shared" si="5"/>
        <v>191.8</v>
      </c>
      <c r="X49" s="194"/>
    </row>
    <row r="50" spans="2:24" s="121" customFormat="1" ht="12" x14ac:dyDescent="0.2">
      <c r="B50" s="120"/>
      <c r="C50" s="56" t="s">
        <v>195</v>
      </c>
      <c r="D50" s="56" t="s">
        <v>96</v>
      </c>
      <c r="E50" s="57" t="s">
        <v>271</v>
      </c>
      <c r="F50" s="58" t="s">
        <v>272</v>
      </c>
      <c r="G50" s="59" t="s">
        <v>108</v>
      </c>
      <c r="H50" s="60">
        <v>355.61</v>
      </c>
      <c r="I50" s="61">
        <v>20.62</v>
      </c>
      <c r="J50" s="60">
        <v>7332.7</v>
      </c>
      <c r="K50" s="68">
        <v>0</v>
      </c>
      <c r="L50" s="69">
        <f t="shared" si="0"/>
        <v>20.62</v>
      </c>
      <c r="M50" s="273">
        <f t="shared" si="1"/>
        <v>0</v>
      </c>
      <c r="N50" s="71">
        <f t="shared" si="2"/>
        <v>355.61</v>
      </c>
      <c r="O50" s="72">
        <f t="shared" si="3"/>
        <v>20.62</v>
      </c>
      <c r="P50" s="274">
        <f t="shared" si="4"/>
        <v>7332.6782000000003</v>
      </c>
      <c r="Q50" s="291">
        <f t="shared" si="5"/>
        <v>366.16</v>
      </c>
      <c r="X50" s="194"/>
    </row>
    <row r="51" spans="2:24" s="121" customFormat="1" ht="12" x14ac:dyDescent="0.2">
      <c r="B51" s="120"/>
      <c r="C51" s="56" t="s">
        <v>198</v>
      </c>
      <c r="D51" s="56" t="s">
        <v>96</v>
      </c>
      <c r="E51" s="57" t="s">
        <v>274</v>
      </c>
      <c r="F51" s="58" t="s">
        <v>275</v>
      </c>
      <c r="G51" s="59" t="s">
        <v>108</v>
      </c>
      <c r="H51" s="60">
        <v>355.61</v>
      </c>
      <c r="I51" s="61">
        <v>396.71</v>
      </c>
      <c r="J51" s="60">
        <v>141074</v>
      </c>
      <c r="K51" s="68">
        <v>0</v>
      </c>
      <c r="L51" s="69">
        <f t="shared" si="0"/>
        <v>396.71</v>
      </c>
      <c r="M51" s="273">
        <f t="shared" si="1"/>
        <v>0</v>
      </c>
      <c r="N51" s="71">
        <f t="shared" si="2"/>
        <v>355.61</v>
      </c>
      <c r="O51" s="72">
        <f t="shared" si="3"/>
        <v>396.71</v>
      </c>
      <c r="P51" s="274">
        <f t="shared" si="4"/>
        <v>141074.04310000001</v>
      </c>
      <c r="Q51" s="291">
        <f t="shared" si="5"/>
        <v>366.16</v>
      </c>
      <c r="X51" s="194"/>
    </row>
    <row r="52" spans="2:24" s="121" customFormat="1" ht="12" x14ac:dyDescent="0.2">
      <c r="B52" s="120"/>
      <c r="C52" s="56" t="s">
        <v>202</v>
      </c>
      <c r="D52" s="56" t="s">
        <v>96</v>
      </c>
      <c r="E52" s="57" t="s">
        <v>277</v>
      </c>
      <c r="F52" s="58" t="s">
        <v>278</v>
      </c>
      <c r="G52" s="59" t="s">
        <v>108</v>
      </c>
      <c r="H52" s="60">
        <v>186.27</v>
      </c>
      <c r="I52" s="61">
        <v>559.51</v>
      </c>
      <c r="J52" s="60">
        <v>104219.9</v>
      </c>
      <c r="K52" s="68">
        <v>0</v>
      </c>
      <c r="L52" s="69">
        <f t="shared" si="0"/>
        <v>559.51</v>
      </c>
      <c r="M52" s="273">
        <f t="shared" si="1"/>
        <v>0</v>
      </c>
      <c r="N52" s="71">
        <f t="shared" si="2"/>
        <v>186.27</v>
      </c>
      <c r="O52" s="72">
        <f t="shared" si="3"/>
        <v>559.51</v>
      </c>
      <c r="P52" s="274">
        <f t="shared" si="4"/>
        <v>104219.9277</v>
      </c>
      <c r="Q52" s="291">
        <f t="shared" si="5"/>
        <v>191.8</v>
      </c>
      <c r="X52" s="194"/>
    </row>
    <row r="53" spans="2:24" s="170" customFormat="1" ht="12.75" x14ac:dyDescent="0.2">
      <c r="B53" s="165"/>
      <c r="C53" s="252"/>
      <c r="D53" s="253" t="s">
        <v>4</v>
      </c>
      <c r="E53" s="254" t="s">
        <v>115</v>
      </c>
      <c r="F53" s="254" t="s">
        <v>288</v>
      </c>
      <c r="G53" s="252"/>
      <c r="H53" s="252"/>
      <c r="I53" s="255"/>
      <c r="J53" s="256">
        <f>+SUBTOTAL(9,J54:J73)</f>
        <v>417958.40000000008</v>
      </c>
      <c r="K53" s="261"/>
      <c r="L53" s="262"/>
      <c r="M53" s="279">
        <f>SUM(M54:M73)</f>
        <v>-838.85</v>
      </c>
      <c r="N53" s="280"/>
      <c r="O53" s="262"/>
      <c r="P53" s="279">
        <f>SUM(P54:P73)</f>
        <v>417119.50420000008</v>
      </c>
      <c r="Q53" s="291">
        <f t="shared" si="5"/>
        <v>0</v>
      </c>
      <c r="W53" s="121"/>
      <c r="X53" s="194"/>
    </row>
    <row r="54" spans="2:24" s="121" customFormat="1" ht="12" x14ac:dyDescent="0.2">
      <c r="B54" s="120"/>
      <c r="C54" s="56" t="s">
        <v>205</v>
      </c>
      <c r="D54" s="56" t="s">
        <v>96</v>
      </c>
      <c r="E54" s="57" t="s">
        <v>296</v>
      </c>
      <c r="F54" s="58" t="s">
        <v>297</v>
      </c>
      <c r="G54" s="59" t="s">
        <v>133</v>
      </c>
      <c r="H54" s="60">
        <v>164.52</v>
      </c>
      <c r="I54" s="61">
        <v>552.39</v>
      </c>
      <c r="J54" s="60">
        <v>90879.2</v>
      </c>
      <c r="K54" s="68">
        <f t="shared" ref="K54:K55" si="7">ROUND(168.9/169.4*Q54-Q54,2)</f>
        <v>-0.5</v>
      </c>
      <c r="L54" s="69">
        <f t="shared" si="0"/>
        <v>552.39</v>
      </c>
      <c r="M54" s="273">
        <f t="shared" si="1"/>
        <v>-276.19499999999999</v>
      </c>
      <c r="N54" s="71">
        <f t="shared" si="2"/>
        <v>164.02</v>
      </c>
      <c r="O54" s="72">
        <f t="shared" si="3"/>
        <v>552.39</v>
      </c>
      <c r="P54" s="274">
        <f t="shared" si="4"/>
        <v>90603.007800000007</v>
      </c>
      <c r="Q54" s="291">
        <f t="shared" si="5"/>
        <v>169.4</v>
      </c>
      <c r="X54" s="194"/>
    </row>
    <row r="55" spans="2:24" s="121" customFormat="1" ht="12" x14ac:dyDescent="0.2">
      <c r="B55" s="120"/>
      <c r="C55" s="73" t="s">
        <v>208</v>
      </c>
      <c r="D55" s="73" t="s">
        <v>209</v>
      </c>
      <c r="E55" s="74" t="s">
        <v>299</v>
      </c>
      <c r="F55" s="75" t="s">
        <v>300</v>
      </c>
      <c r="G55" s="76" t="s">
        <v>133</v>
      </c>
      <c r="H55" s="77">
        <v>164.52</v>
      </c>
      <c r="I55" s="78">
        <v>1060.07</v>
      </c>
      <c r="J55" s="77">
        <v>174402.7</v>
      </c>
      <c r="K55" s="68">
        <f t="shared" si="7"/>
        <v>-0.5</v>
      </c>
      <c r="L55" s="69">
        <f t="shared" si="0"/>
        <v>1060.07</v>
      </c>
      <c r="M55" s="273">
        <f t="shared" si="1"/>
        <v>-530.03499999999997</v>
      </c>
      <c r="N55" s="71">
        <f t="shared" si="2"/>
        <v>164.02</v>
      </c>
      <c r="O55" s="72">
        <f t="shared" si="3"/>
        <v>1060.07</v>
      </c>
      <c r="P55" s="274">
        <f t="shared" si="4"/>
        <v>173872.6814</v>
      </c>
      <c r="Q55" s="291">
        <f t="shared" si="5"/>
        <v>169.4</v>
      </c>
      <c r="X55" s="194"/>
    </row>
    <row r="56" spans="2:24" s="121" customFormat="1" ht="12" x14ac:dyDescent="0.2">
      <c r="B56" s="120"/>
      <c r="C56" s="73" t="s">
        <v>212</v>
      </c>
      <c r="D56" s="73" t="s">
        <v>209</v>
      </c>
      <c r="E56" s="74" t="s">
        <v>302</v>
      </c>
      <c r="F56" s="75" t="s">
        <v>303</v>
      </c>
      <c r="G56" s="76" t="s">
        <v>99</v>
      </c>
      <c r="H56" s="77">
        <v>6</v>
      </c>
      <c r="I56" s="78">
        <v>739.15</v>
      </c>
      <c r="J56" s="77">
        <v>4434.8999999999996</v>
      </c>
      <c r="K56" s="68">
        <v>0</v>
      </c>
      <c r="L56" s="69">
        <f t="shared" si="0"/>
        <v>739.15</v>
      </c>
      <c r="M56" s="273">
        <f t="shared" si="1"/>
        <v>0</v>
      </c>
      <c r="N56" s="71">
        <f t="shared" si="2"/>
        <v>6</v>
      </c>
      <c r="O56" s="72">
        <f t="shared" si="3"/>
        <v>739.15</v>
      </c>
      <c r="P56" s="274">
        <f t="shared" si="4"/>
        <v>4434.8999999999996</v>
      </c>
      <c r="Q56" s="291">
        <f t="shared" si="5"/>
        <v>6.18</v>
      </c>
      <c r="X56" s="194"/>
    </row>
    <row r="57" spans="2:24" s="121" customFormat="1" ht="12" x14ac:dyDescent="0.2">
      <c r="B57" s="120"/>
      <c r="C57" s="56" t="s">
        <v>215</v>
      </c>
      <c r="D57" s="56" t="s">
        <v>96</v>
      </c>
      <c r="E57" s="57" t="s">
        <v>320</v>
      </c>
      <c r="F57" s="58" t="s">
        <v>321</v>
      </c>
      <c r="G57" s="59" t="s">
        <v>99</v>
      </c>
      <c r="H57" s="60">
        <v>2</v>
      </c>
      <c r="I57" s="61">
        <v>260.41000000000003</v>
      </c>
      <c r="J57" s="60">
        <v>520.79999999999995</v>
      </c>
      <c r="K57" s="68">
        <v>0</v>
      </c>
      <c r="L57" s="69">
        <f t="shared" si="0"/>
        <v>260.41000000000003</v>
      </c>
      <c r="M57" s="273">
        <f t="shared" si="1"/>
        <v>0</v>
      </c>
      <c r="N57" s="71">
        <f t="shared" si="2"/>
        <v>2</v>
      </c>
      <c r="O57" s="72">
        <f t="shared" si="3"/>
        <v>260.41000000000003</v>
      </c>
      <c r="P57" s="274">
        <f t="shared" si="4"/>
        <v>520.82000000000005</v>
      </c>
      <c r="Q57" s="291">
        <f t="shared" si="5"/>
        <v>2.06</v>
      </c>
      <c r="R57" s="346"/>
      <c r="X57" s="194"/>
    </row>
    <row r="58" spans="2:24" s="121" customFormat="1" ht="12" x14ac:dyDescent="0.2">
      <c r="B58" s="120"/>
      <c r="C58" s="73" t="s">
        <v>219</v>
      </c>
      <c r="D58" s="73" t="s">
        <v>209</v>
      </c>
      <c r="E58" s="74" t="s">
        <v>326</v>
      </c>
      <c r="F58" s="75" t="s">
        <v>327</v>
      </c>
      <c r="G58" s="76" t="s">
        <v>99</v>
      </c>
      <c r="H58" s="77">
        <v>2.0299999999999998</v>
      </c>
      <c r="I58" s="78">
        <v>1801.85</v>
      </c>
      <c r="J58" s="77">
        <v>3657.8</v>
      </c>
      <c r="K58" s="68">
        <v>0</v>
      </c>
      <c r="L58" s="69">
        <f t="shared" si="0"/>
        <v>1801.85</v>
      </c>
      <c r="M58" s="273">
        <f t="shared" si="1"/>
        <v>0</v>
      </c>
      <c r="N58" s="71">
        <f t="shared" si="2"/>
        <v>2.0299999999999998</v>
      </c>
      <c r="O58" s="72">
        <f t="shared" si="3"/>
        <v>1801.85</v>
      </c>
      <c r="P58" s="274">
        <f t="shared" si="4"/>
        <v>3657.7554999999993</v>
      </c>
      <c r="Q58" s="291">
        <f t="shared" si="5"/>
        <v>2.09</v>
      </c>
      <c r="R58" s="346"/>
      <c r="X58" s="194"/>
    </row>
    <row r="59" spans="2:24" s="121" customFormat="1" ht="12" x14ac:dyDescent="0.2">
      <c r="B59" s="120"/>
      <c r="C59" s="56" t="s">
        <v>223</v>
      </c>
      <c r="D59" s="56" t="s">
        <v>96</v>
      </c>
      <c r="E59" s="57" t="s">
        <v>329</v>
      </c>
      <c r="F59" s="58" t="s">
        <v>330</v>
      </c>
      <c r="G59" s="59" t="s">
        <v>99</v>
      </c>
      <c r="H59" s="60">
        <v>7</v>
      </c>
      <c r="I59" s="61">
        <v>219.64</v>
      </c>
      <c r="J59" s="60">
        <v>1537.5</v>
      </c>
      <c r="K59" s="68">
        <v>0</v>
      </c>
      <c r="L59" s="69">
        <f t="shared" si="0"/>
        <v>219.64</v>
      </c>
      <c r="M59" s="273">
        <f t="shared" si="1"/>
        <v>0</v>
      </c>
      <c r="N59" s="71">
        <f t="shared" si="2"/>
        <v>7</v>
      </c>
      <c r="O59" s="72">
        <f t="shared" si="3"/>
        <v>219.64</v>
      </c>
      <c r="P59" s="274">
        <f t="shared" si="4"/>
        <v>1537.48</v>
      </c>
      <c r="Q59" s="291">
        <f t="shared" si="5"/>
        <v>7.21</v>
      </c>
      <c r="R59" s="346"/>
      <c r="X59" s="194"/>
    </row>
    <row r="60" spans="2:24" s="121" customFormat="1" ht="12" x14ac:dyDescent="0.2">
      <c r="B60" s="120"/>
      <c r="C60" s="73" t="s">
        <v>226</v>
      </c>
      <c r="D60" s="73" t="s">
        <v>209</v>
      </c>
      <c r="E60" s="74" t="s">
        <v>332</v>
      </c>
      <c r="F60" s="75" t="s">
        <v>333</v>
      </c>
      <c r="G60" s="76" t="s">
        <v>99</v>
      </c>
      <c r="H60" s="77">
        <v>3.05</v>
      </c>
      <c r="I60" s="78">
        <v>1129.77</v>
      </c>
      <c r="J60" s="77">
        <v>3445.8</v>
      </c>
      <c r="K60" s="68">
        <v>0</v>
      </c>
      <c r="L60" s="69">
        <f t="shared" si="0"/>
        <v>1129.77</v>
      </c>
      <c r="M60" s="273">
        <f t="shared" si="1"/>
        <v>0</v>
      </c>
      <c r="N60" s="71">
        <f t="shared" si="2"/>
        <v>3.05</v>
      </c>
      <c r="O60" s="72">
        <f t="shared" si="3"/>
        <v>1129.77</v>
      </c>
      <c r="P60" s="274">
        <f t="shared" si="4"/>
        <v>3445.7984999999999</v>
      </c>
      <c r="Q60" s="291">
        <f t="shared" si="5"/>
        <v>3.14</v>
      </c>
      <c r="R60" s="346"/>
      <c r="X60" s="194"/>
    </row>
    <row r="61" spans="2:24" s="121" customFormat="1" ht="12" x14ac:dyDescent="0.2">
      <c r="B61" s="120"/>
      <c r="C61" s="73" t="s">
        <v>230</v>
      </c>
      <c r="D61" s="73" t="s">
        <v>209</v>
      </c>
      <c r="E61" s="74" t="s">
        <v>335</v>
      </c>
      <c r="F61" s="75" t="s">
        <v>336</v>
      </c>
      <c r="G61" s="76" t="s">
        <v>99</v>
      </c>
      <c r="H61" s="77">
        <v>4.0599999999999996</v>
      </c>
      <c r="I61" s="78">
        <v>1129.77</v>
      </c>
      <c r="J61" s="77">
        <v>4586.8999999999996</v>
      </c>
      <c r="K61" s="68">
        <v>0</v>
      </c>
      <c r="L61" s="69">
        <f t="shared" si="0"/>
        <v>1129.77</v>
      </c>
      <c r="M61" s="273">
        <f t="shared" si="1"/>
        <v>0</v>
      </c>
      <c r="N61" s="71">
        <f t="shared" si="2"/>
        <v>4.0599999999999996</v>
      </c>
      <c r="O61" s="72">
        <f t="shared" si="3"/>
        <v>1129.77</v>
      </c>
      <c r="P61" s="274">
        <f t="shared" si="4"/>
        <v>4586.8661999999995</v>
      </c>
      <c r="Q61" s="291">
        <f t="shared" si="5"/>
        <v>4.18</v>
      </c>
      <c r="X61" s="194"/>
    </row>
    <row r="62" spans="2:24" s="121" customFormat="1" ht="33.75" x14ac:dyDescent="0.2">
      <c r="B62" s="120"/>
      <c r="C62" s="56" t="s">
        <v>233</v>
      </c>
      <c r="D62" s="56" t="s">
        <v>96</v>
      </c>
      <c r="E62" s="57" t="s">
        <v>347</v>
      </c>
      <c r="F62" s="58" t="s">
        <v>348</v>
      </c>
      <c r="G62" s="59" t="s">
        <v>133</v>
      </c>
      <c r="H62" s="60">
        <v>164.52</v>
      </c>
      <c r="I62" s="61">
        <v>56.03</v>
      </c>
      <c r="J62" s="60">
        <v>9218.1</v>
      </c>
      <c r="K62" s="68">
        <f t="shared" ref="K62" si="8">ROUND(168.9/169.4*Q62-Q62,2)</f>
        <v>-0.5</v>
      </c>
      <c r="L62" s="69">
        <f t="shared" si="0"/>
        <v>56.03</v>
      </c>
      <c r="M62" s="273">
        <f t="shared" si="1"/>
        <v>-28.015000000000001</v>
      </c>
      <c r="N62" s="71">
        <f t="shared" si="2"/>
        <v>164.02</v>
      </c>
      <c r="O62" s="72">
        <f t="shared" si="3"/>
        <v>56.03</v>
      </c>
      <c r="P62" s="274">
        <f t="shared" si="4"/>
        <v>9190.0406000000003</v>
      </c>
      <c r="Q62" s="291">
        <f t="shared" si="5"/>
        <v>169.4</v>
      </c>
      <c r="X62" s="194"/>
    </row>
    <row r="63" spans="2:24" s="121" customFormat="1" ht="12" x14ac:dyDescent="0.2">
      <c r="B63" s="120"/>
      <c r="C63" s="56" t="s">
        <v>236</v>
      </c>
      <c r="D63" s="56" t="s">
        <v>96</v>
      </c>
      <c r="E63" s="57" t="s">
        <v>350</v>
      </c>
      <c r="F63" s="58" t="s">
        <v>351</v>
      </c>
      <c r="G63" s="59" t="s">
        <v>99</v>
      </c>
      <c r="H63" s="60">
        <v>7</v>
      </c>
      <c r="I63" s="61">
        <v>808.86</v>
      </c>
      <c r="J63" s="60">
        <v>5662</v>
      </c>
      <c r="K63" s="68">
        <v>0</v>
      </c>
      <c r="L63" s="69">
        <f t="shared" si="0"/>
        <v>808.86</v>
      </c>
      <c r="M63" s="273">
        <f t="shared" si="1"/>
        <v>0</v>
      </c>
      <c r="N63" s="71">
        <f t="shared" si="2"/>
        <v>7</v>
      </c>
      <c r="O63" s="72">
        <f t="shared" si="3"/>
        <v>808.86</v>
      </c>
      <c r="P63" s="274">
        <f t="shared" si="4"/>
        <v>5662.02</v>
      </c>
      <c r="Q63" s="291">
        <f t="shared" si="5"/>
        <v>7.21</v>
      </c>
      <c r="X63" s="194"/>
    </row>
    <row r="64" spans="2:24" s="121" customFormat="1" ht="12" x14ac:dyDescent="0.2">
      <c r="B64" s="120"/>
      <c r="C64" s="73" t="s">
        <v>239</v>
      </c>
      <c r="D64" s="73" t="s">
        <v>209</v>
      </c>
      <c r="E64" s="74" t="s">
        <v>356</v>
      </c>
      <c r="F64" s="75" t="s">
        <v>357</v>
      </c>
      <c r="G64" s="76" t="s">
        <v>99</v>
      </c>
      <c r="H64" s="77">
        <v>4</v>
      </c>
      <c r="I64" s="78">
        <v>1202.1099999999999</v>
      </c>
      <c r="J64" s="77">
        <v>4808.3999999999996</v>
      </c>
      <c r="K64" s="68">
        <v>0</v>
      </c>
      <c r="L64" s="69">
        <f t="shared" si="0"/>
        <v>1202.1099999999999</v>
      </c>
      <c r="M64" s="273">
        <f t="shared" si="1"/>
        <v>0</v>
      </c>
      <c r="N64" s="71">
        <f t="shared" si="2"/>
        <v>4</v>
      </c>
      <c r="O64" s="72">
        <f t="shared" si="3"/>
        <v>1202.1099999999999</v>
      </c>
      <c r="P64" s="274">
        <f t="shared" si="4"/>
        <v>4808.4399999999996</v>
      </c>
      <c r="Q64" s="291">
        <f t="shared" si="5"/>
        <v>4.12</v>
      </c>
      <c r="X64" s="194"/>
    </row>
    <row r="65" spans="2:24" s="121" customFormat="1" ht="12" x14ac:dyDescent="0.2">
      <c r="B65" s="120"/>
      <c r="C65" s="73" t="s">
        <v>242</v>
      </c>
      <c r="D65" s="73" t="s">
        <v>209</v>
      </c>
      <c r="E65" s="74" t="s">
        <v>359</v>
      </c>
      <c r="F65" s="75" t="s">
        <v>360</v>
      </c>
      <c r="G65" s="76" t="s">
        <v>99</v>
      </c>
      <c r="H65" s="77">
        <v>3</v>
      </c>
      <c r="I65" s="78">
        <v>775.98</v>
      </c>
      <c r="J65" s="77">
        <v>2327.9</v>
      </c>
      <c r="K65" s="68">
        <v>0</v>
      </c>
      <c r="L65" s="69">
        <f t="shared" si="0"/>
        <v>775.98</v>
      </c>
      <c r="M65" s="273">
        <f t="shared" si="1"/>
        <v>0</v>
      </c>
      <c r="N65" s="71">
        <f t="shared" si="2"/>
        <v>3</v>
      </c>
      <c r="O65" s="72">
        <f t="shared" si="3"/>
        <v>775.98</v>
      </c>
      <c r="P65" s="274">
        <f t="shared" si="4"/>
        <v>2327.94</v>
      </c>
      <c r="Q65" s="291">
        <f t="shared" si="5"/>
        <v>3.09</v>
      </c>
      <c r="X65" s="194"/>
    </row>
    <row r="66" spans="2:24" s="121" customFormat="1" ht="12" x14ac:dyDescent="0.2">
      <c r="B66" s="120"/>
      <c r="C66" s="73" t="s">
        <v>245</v>
      </c>
      <c r="D66" s="73" t="s">
        <v>209</v>
      </c>
      <c r="E66" s="74" t="s">
        <v>362</v>
      </c>
      <c r="F66" s="75" t="s">
        <v>363</v>
      </c>
      <c r="G66" s="76" t="s">
        <v>99</v>
      </c>
      <c r="H66" s="77">
        <v>11</v>
      </c>
      <c r="I66" s="78">
        <v>211.75</v>
      </c>
      <c r="J66" s="77">
        <v>2329.3000000000002</v>
      </c>
      <c r="K66" s="68">
        <v>0</v>
      </c>
      <c r="L66" s="69">
        <f t="shared" si="0"/>
        <v>211.75</v>
      </c>
      <c r="M66" s="273">
        <f t="shared" si="1"/>
        <v>0</v>
      </c>
      <c r="N66" s="71">
        <f t="shared" si="2"/>
        <v>11</v>
      </c>
      <c r="O66" s="72">
        <f t="shared" si="3"/>
        <v>211.75</v>
      </c>
      <c r="P66" s="274">
        <f t="shared" si="4"/>
        <v>2329.25</v>
      </c>
      <c r="Q66" s="291">
        <f t="shared" si="5"/>
        <v>11.33</v>
      </c>
      <c r="X66" s="194"/>
    </row>
    <row r="67" spans="2:24" s="121" customFormat="1" ht="12" x14ac:dyDescent="0.2">
      <c r="B67" s="120"/>
      <c r="C67" s="56" t="s">
        <v>248</v>
      </c>
      <c r="D67" s="56" t="s">
        <v>96</v>
      </c>
      <c r="E67" s="57" t="s">
        <v>365</v>
      </c>
      <c r="F67" s="58" t="s">
        <v>366</v>
      </c>
      <c r="G67" s="59" t="s">
        <v>99</v>
      </c>
      <c r="H67" s="60">
        <v>4</v>
      </c>
      <c r="I67" s="61">
        <v>808.86</v>
      </c>
      <c r="J67" s="60">
        <v>3235.4</v>
      </c>
      <c r="K67" s="68">
        <v>0</v>
      </c>
      <c r="L67" s="69">
        <f t="shared" si="0"/>
        <v>808.86</v>
      </c>
      <c r="M67" s="273">
        <f t="shared" si="1"/>
        <v>0</v>
      </c>
      <c r="N67" s="71">
        <f t="shared" si="2"/>
        <v>4</v>
      </c>
      <c r="O67" s="72">
        <f t="shared" si="3"/>
        <v>808.86</v>
      </c>
      <c r="P67" s="274">
        <f t="shared" si="4"/>
        <v>3235.44</v>
      </c>
      <c r="Q67" s="291">
        <f t="shared" si="5"/>
        <v>4.12</v>
      </c>
      <c r="X67" s="194"/>
    </row>
    <row r="68" spans="2:24" s="121" customFormat="1" ht="12" x14ac:dyDescent="0.2">
      <c r="B68" s="120"/>
      <c r="C68" s="73" t="s">
        <v>251</v>
      </c>
      <c r="D68" s="73" t="s">
        <v>209</v>
      </c>
      <c r="E68" s="74" t="s">
        <v>368</v>
      </c>
      <c r="F68" s="75" t="s">
        <v>369</v>
      </c>
      <c r="G68" s="76" t="s">
        <v>99</v>
      </c>
      <c r="H68" s="77">
        <v>4</v>
      </c>
      <c r="I68" s="78">
        <v>1530.92</v>
      </c>
      <c r="J68" s="77">
        <v>6123.7</v>
      </c>
      <c r="K68" s="68">
        <v>0</v>
      </c>
      <c r="L68" s="69">
        <f t="shared" si="0"/>
        <v>1530.92</v>
      </c>
      <c r="M68" s="273">
        <f t="shared" si="1"/>
        <v>0</v>
      </c>
      <c r="N68" s="71">
        <f t="shared" si="2"/>
        <v>4</v>
      </c>
      <c r="O68" s="72">
        <f t="shared" si="3"/>
        <v>1530.92</v>
      </c>
      <c r="P68" s="274">
        <f t="shared" si="4"/>
        <v>6123.68</v>
      </c>
      <c r="Q68" s="291">
        <f t="shared" si="5"/>
        <v>4.12</v>
      </c>
      <c r="X68" s="194"/>
    </row>
    <row r="69" spans="2:24" s="121" customFormat="1" ht="12" x14ac:dyDescent="0.2">
      <c r="B69" s="120"/>
      <c r="C69" s="56" t="s">
        <v>254</v>
      </c>
      <c r="D69" s="56" t="s">
        <v>96</v>
      </c>
      <c r="E69" s="57" t="s">
        <v>371</v>
      </c>
      <c r="F69" s="58" t="s">
        <v>372</v>
      </c>
      <c r="G69" s="59" t="s">
        <v>99</v>
      </c>
      <c r="H69" s="60">
        <v>4</v>
      </c>
      <c r="I69" s="61">
        <v>3234.12</v>
      </c>
      <c r="J69" s="60">
        <v>12936.5</v>
      </c>
      <c r="K69" s="68">
        <v>0</v>
      </c>
      <c r="L69" s="69">
        <f t="shared" si="0"/>
        <v>3234.12</v>
      </c>
      <c r="M69" s="273">
        <f t="shared" si="1"/>
        <v>0</v>
      </c>
      <c r="N69" s="71">
        <f t="shared" si="2"/>
        <v>4</v>
      </c>
      <c r="O69" s="72">
        <f t="shared" si="3"/>
        <v>3234.12</v>
      </c>
      <c r="P69" s="274">
        <f t="shared" si="4"/>
        <v>12936.48</v>
      </c>
      <c r="Q69" s="291">
        <f t="shared" si="5"/>
        <v>4.12</v>
      </c>
      <c r="X69" s="194"/>
    </row>
    <row r="70" spans="2:24" s="121" customFormat="1" ht="12" x14ac:dyDescent="0.2">
      <c r="B70" s="120"/>
      <c r="C70" s="73" t="s">
        <v>258</v>
      </c>
      <c r="D70" s="73" t="s">
        <v>209</v>
      </c>
      <c r="E70" s="74" t="s">
        <v>374</v>
      </c>
      <c r="F70" s="75" t="s">
        <v>375</v>
      </c>
      <c r="G70" s="76" t="s">
        <v>99</v>
      </c>
      <c r="H70" s="77">
        <v>4</v>
      </c>
      <c r="I70" s="78">
        <v>14588.41</v>
      </c>
      <c r="J70" s="77">
        <v>58353.599999999999</v>
      </c>
      <c r="K70" s="68">
        <v>0</v>
      </c>
      <c r="L70" s="69">
        <f t="shared" si="0"/>
        <v>14588.41</v>
      </c>
      <c r="M70" s="273">
        <f t="shared" si="1"/>
        <v>0</v>
      </c>
      <c r="N70" s="71">
        <f t="shared" si="2"/>
        <v>4</v>
      </c>
      <c r="O70" s="72">
        <f t="shared" si="3"/>
        <v>14588.41</v>
      </c>
      <c r="P70" s="274">
        <f t="shared" si="4"/>
        <v>58353.64</v>
      </c>
      <c r="Q70" s="291">
        <f t="shared" si="5"/>
        <v>4.12</v>
      </c>
      <c r="X70" s="194"/>
    </row>
    <row r="71" spans="2:24" s="121" customFormat="1" ht="12" x14ac:dyDescent="0.2">
      <c r="B71" s="120"/>
      <c r="C71" s="56" t="s">
        <v>261</v>
      </c>
      <c r="D71" s="56" t="s">
        <v>96</v>
      </c>
      <c r="E71" s="57" t="s">
        <v>377</v>
      </c>
      <c r="F71" s="58" t="s">
        <v>378</v>
      </c>
      <c r="G71" s="59" t="s">
        <v>99</v>
      </c>
      <c r="H71" s="60">
        <v>4</v>
      </c>
      <c r="I71" s="61">
        <v>485.32</v>
      </c>
      <c r="J71" s="60">
        <v>1941.3</v>
      </c>
      <c r="K71" s="68">
        <v>0</v>
      </c>
      <c r="L71" s="69">
        <f t="shared" si="0"/>
        <v>485.32</v>
      </c>
      <c r="M71" s="273">
        <f t="shared" si="1"/>
        <v>0</v>
      </c>
      <c r="N71" s="71">
        <f t="shared" si="2"/>
        <v>4</v>
      </c>
      <c r="O71" s="72">
        <f t="shared" si="3"/>
        <v>485.32</v>
      </c>
      <c r="P71" s="274">
        <f t="shared" si="4"/>
        <v>1941.28</v>
      </c>
      <c r="Q71" s="291">
        <f t="shared" si="5"/>
        <v>4.12</v>
      </c>
      <c r="X71" s="194"/>
    </row>
    <row r="72" spans="2:24" s="121" customFormat="1" ht="12" x14ac:dyDescent="0.2">
      <c r="B72" s="120"/>
      <c r="C72" s="73" t="s">
        <v>264</v>
      </c>
      <c r="D72" s="73" t="s">
        <v>209</v>
      </c>
      <c r="E72" s="74" t="s">
        <v>380</v>
      </c>
      <c r="F72" s="75" t="s">
        <v>381</v>
      </c>
      <c r="G72" s="76" t="s">
        <v>99</v>
      </c>
      <c r="H72" s="77">
        <v>4</v>
      </c>
      <c r="I72" s="78">
        <v>6510.34</v>
      </c>
      <c r="J72" s="77">
        <v>26041.4</v>
      </c>
      <c r="K72" s="68">
        <v>0</v>
      </c>
      <c r="L72" s="69">
        <f t="shared" si="0"/>
        <v>6510.34</v>
      </c>
      <c r="M72" s="273">
        <f t="shared" si="1"/>
        <v>0</v>
      </c>
      <c r="N72" s="71">
        <f t="shared" si="2"/>
        <v>4</v>
      </c>
      <c r="O72" s="72">
        <f t="shared" si="3"/>
        <v>6510.34</v>
      </c>
      <c r="P72" s="274">
        <f t="shared" si="4"/>
        <v>26041.360000000001</v>
      </c>
      <c r="Q72" s="291">
        <f t="shared" si="5"/>
        <v>4.12</v>
      </c>
      <c r="X72" s="194"/>
    </row>
    <row r="73" spans="2:24" s="121" customFormat="1" ht="12" x14ac:dyDescent="0.2">
      <c r="B73" s="120"/>
      <c r="C73" s="56" t="s">
        <v>267</v>
      </c>
      <c r="D73" s="56" t="s">
        <v>96</v>
      </c>
      <c r="E73" s="57" t="s">
        <v>383</v>
      </c>
      <c r="F73" s="58" t="s">
        <v>384</v>
      </c>
      <c r="G73" s="59" t="s">
        <v>133</v>
      </c>
      <c r="H73" s="60">
        <v>164.52</v>
      </c>
      <c r="I73" s="61">
        <v>9.2100000000000009</v>
      </c>
      <c r="J73" s="60">
        <v>1515.2</v>
      </c>
      <c r="K73" s="68">
        <f t="shared" ref="K73" si="9">ROUND(168.9/169.4*Q73-Q73,2)</f>
        <v>-0.5</v>
      </c>
      <c r="L73" s="69">
        <f t="shared" si="0"/>
        <v>9.2100000000000009</v>
      </c>
      <c r="M73" s="273">
        <f t="shared" si="1"/>
        <v>-4.6050000000000004</v>
      </c>
      <c r="N73" s="71">
        <f t="shared" si="2"/>
        <v>164.02</v>
      </c>
      <c r="O73" s="72">
        <f t="shared" si="3"/>
        <v>9.2100000000000009</v>
      </c>
      <c r="P73" s="274">
        <f t="shared" si="4"/>
        <v>1510.6242000000002</v>
      </c>
      <c r="Q73" s="291">
        <f t="shared" si="5"/>
        <v>169.4</v>
      </c>
      <c r="X73" s="194"/>
    </row>
    <row r="74" spans="2:24" s="170" customFormat="1" ht="12.75" x14ac:dyDescent="0.2">
      <c r="B74" s="165"/>
      <c r="C74" s="252"/>
      <c r="D74" s="253" t="s">
        <v>4</v>
      </c>
      <c r="E74" s="254" t="s">
        <v>118</v>
      </c>
      <c r="F74" s="254" t="s">
        <v>385</v>
      </c>
      <c r="G74" s="252"/>
      <c r="H74" s="252"/>
      <c r="I74" s="255"/>
      <c r="J74" s="256">
        <f>+SUBTOTAL(9,J75:J76)</f>
        <v>54185.399999999994</v>
      </c>
      <c r="K74" s="261"/>
      <c r="L74" s="262"/>
      <c r="M74" s="279">
        <f>SUM(M75:M76)</f>
        <v>0</v>
      </c>
      <c r="N74" s="280"/>
      <c r="O74" s="262"/>
      <c r="P74" s="279">
        <f>SUM(P75:P76)</f>
        <v>54185.41320000001</v>
      </c>
      <c r="Q74" s="291">
        <f t="shared" si="5"/>
        <v>0</v>
      </c>
      <c r="W74" s="121"/>
      <c r="X74" s="194"/>
    </row>
    <row r="75" spans="2:24" s="121" customFormat="1" ht="12" x14ac:dyDescent="0.2">
      <c r="B75" s="120"/>
      <c r="C75" s="56" t="s">
        <v>270</v>
      </c>
      <c r="D75" s="56" t="s">
        <v>96</v>
      </c>
      <c r="E75" s="57" t="s">
        <v>387</v>
      </c>
      <c r="F75" s="58" t="s">
        <v>388</v>
      </c>
      <c r="G75" s="59" t="s">
        <v>133</v>
      </c>
      <c r="H75" s="60">
        <v>338.68</v>
      </c>
      <c r="I75" s="61">
        <v>87.65</v>
      </c>
      <c r="J75" s="60">
        <v>29685.3</v>
      </c>
      <c r="K75" s="68">
        <v>0</v>
      </c>
      <c r="L75" s="69">
        <f t="shared" si="0"/>
        <v>87.65</v>
      </c>
      <c r="M75" s="273">
        <f t="shared" si="1"/>
        <v>0</v>
      </c>
      <c r="N75" s="71">
        <f t="shared" si="2"/>
        <v>338.68</v>
      </c>
      <c r="O75" s="72">
        <f t="shared" si="3"/>
        <v>87.65</v>
      </c>
      <c r="P75" s="274">
        <f t="shared" si="4"/>
        <v>29685.302000000003</v>
      </c>
      <c r="Q75" s="291">
        <f t="shared" si="5"/>
        <v>348.73</v>
      </c>
      <c r="X75" s="194"/>
    </row>
    <row r="76" spans="2:24" s="121" customFormat="1" ht="12" x14ac:dyDescent="0.2">
      <c r="B76" s="120"/>
      <c r="C76" s="56" t="s">
        <v>273</v>
      </c>
      <c r="D76" s="56" t="s">
        <v>96</v>
      </c>
      <c r="E76" s="57" t="s">
        <v>390</v>
      </c>
      <c r="F76" s="58" t="s">
        <v>391</v>
      </c>
      <c r="G76" s="59" t="s">
        <v>133</v>
      </c>
      <c r="H76" s="60">
        <v>338.68</v>
      </c>
      <c r="I76" s="61">
        <v>72.34</v>
      </c>
      <c r="J76" s="60">
        <v>24500.1</v>
      </c>
      <c r="K76" s="68">
        <v>0</v>
      </c>
      <c r="L76" s="69">
        <f t="shared" si="0"/>
        <v>72.34</v>
      </c>
      <c r="M76" s="273">
        <f t="shared" si="1"/>
        <v>0</v>
      </c>
      <c r="N76" s="71">
        <f t="shared" si="2"/>
        <v>338.68</v>
      </c>
      <c r="O76" s="72">
        <f t="shared" si="3"/>
        <v>72.34</v>
      </c>
      <c r="P76" s="274">
        <f t="shared" si="4"/>
        <v>24500.111200000003</v>
      </c>
      <c r="Q76" s="291">
        <f t="shared" si="5"/>
        <v>348.73</v>
      </c>
      <c r="X76" s="194"/>
    </row>
    <row r="77" spans="2:24" s="170" customFormat="1" ht="12.75" x14ac:dyDescent="0.2">
      <c r="B77" s="165"/>
      <c r="C77" s="252"/>
      <c r="D77" s="253" t="s">
        <v>4</v>
      </c>
      <c r="E77" s="254" t="s">
        <v>398</v>
      </c>
      <c r="F77" s="254" t="s">
        <v>399</v>
      </c>
      <c r="G77" s="252"/>
      <c r="H77" s="252"/>
      <c r="I77" s="255"/>
      <c r="J77" s="256">
        <f>+SUBTOTAL(9,J78:J80)</f>
        <v>68902.400000000009</v>
      </c>
      <c r="K77" s="261"/>
      <c r="L77" s="262"/>
      <c r="M77" s="279">
        <f>SUM(M78:M80)</f>
        <v>-136.09209999999999</v>
      </c>
      <c r="N77" s="280"/>
      <c r="O77" s="262"/>
      <c r="P77" s="279">
        <f>SUM(P78:P80)</f>
        <v>68766.246099999989</v>
      </c>
      <c r="Q77" s="291">
        <f t="shared" si="5"/>
        <v>0</v>
      </c>
      <c r="W77" s="121"/>
      <c r="X77" s="194"/>
    </row>
    <row r="78" spans="2:24" s="121" customFormat="1" ht="12" x14ac:dyDescent="0.2">
      <c r="B78" s="120"/>
      <c r="C78" s="56" t="s">
        <v>276</v>
      </c>
      <c r="D78" s="56" t="s">
        <v>96</v>
      </c>
      <c r="E78" s="57" t="s">
        <v>401</v>
      </c>
      <c r="F78" s="58" t="s">
        <v>402</v>
      </c>
      <c r="G78" s="59" t="s">
        <v>201</v>
      </c>
      <c r="H78" s="60">
        <v>175.16</v>
      </c>
      <c r="I78" s="61">
        <v>183.82</v>
      </c>
      <c r="J78" s="60">
        <v>32197.9</v>
      </c>
      <c r="K78" s="68">
        <f t="shared" ref="K78" si="10">ROUND(168.9/169.4*Q78-Q78,2)</f>
        <v>-0.53</v>
      </c>
      <c r="L78" s="69">
        <f t="shared" si="0"/>
        <v>183.82</v>
      </c>
      <c r="M78" s="273">
        <f t="shared" si="1"/>
        <v>-97.424599999999998</v>
      </c>
      <c r="N78" s="71">
        <f t="shared" si="2"/>
        <v>174.63</v>
      </c>
      <c r="O78" s="72">
        <f t="shared" si="3"/>
        <v>183.82</v>
      </c>
      <c r="P78" s="274">
        <f t="shared" si="4"/>
        <v>32100.486599999997</v>
      </c>
      <c r="Q78" s="291">
        <f t="shared" si="5"/>
        <v>180.36</v>
      </c>
      <c r="X78" s="194"/>
    </row>
    <row r="79" spans="2:24" s="121" customFormat="1" ht="12" x14ac:dyDescent="0.2">
      <c r="B79" s="120"/>
      <c r="C79" s="56" t="s">
        <v>279</v>
      </c>
      <c r="D79" s="56" t="s">
        <v>96</v>
      </c>
      <c r="E79" s="57" t="s">
        <v>407</v>
      </c>
      <c r="F79" s="58" t="s">
        <v>408</v>
      </c>
      <c r="G79" s="59" t="s">
        <v>201</v>
      </c>
      <c r="H79" s="60">
        <v>93.21</v>
      </c>
      <c r="I79" s="61">
        <v>257.77999999999997</v>
      </c>
      <c r="J79" s="60">
        <v>24027.7</v>
      </c>
      <c r="K79" s="68">
        <v>0</v>
      </c>
      <c r="L79" s="69">
        <f t="shared" si="0"/>
        <v>257.77999999999997</v>
      </c>
      <c r="M79" s="273">
        <f t="shared" si="1"/>
        <v>0</v>
      </c>
      <c r="N79" s="71">
        <f t="shared" si="2"/>
        <v>93.21</v>
      </c>
      <c r="O79" s="72">
        <f t="shared" si="3"/>
        <v>257.77999999999997</v>
      </c>
      <c r="P79" s="274">
        <f t="shared" si="4"/>
        <v>24027.673799999997</v>
      </c>
      <c r="Q79" s="291">
        <f t="shared" si="5"/>
        <v>95.97</v>
      </c>
      <c r="X79" s="194"/>
    </row>
    <row r="80" spans="2:24" s="121" customFormat="1" ht="12" x14ac:dyDescent="0.2">
      <c r="B80" s="120"/>
      <c r="C80" s="56" t="s">
        <v>282</v>
      </c>
      <c r="D80" s="56" t="s">
        <v>96</v>
      </c>
      <c r="E80" s="57" t="s">
        <v>410</v>
      </c>
      <c r="F80" s="58" t="s">
        <v>411</v>
      </c>
      <c r="G80" s="59" t="s">
        <v>201</v>
      </c>
      <c r="H80" s="60">
        <v>81.96</v>
      </c>
      <c r="I80" s="61">
        <v>154.66999999999999</v>
      </c>
      <c r="J80" s="60">
        <v>12676.8</v>
      </c>
      <c r="K80" s="68">
        <f t="shared" ref="K80" si="11">ROUND(168.9/169.4*Q80-Q80,2)</f>
        <v>-0.25</v>
      </c>
      <c r="L80" s="69">
        <f t="shared" ref="L80:L82" si="12">I80</f>
        <v>154.66999999999999</v>
      </c>
      <c r="M80" s="273">
        <f t="shared" ref="M80:M82" si="13">K80*L80</f>
        <v>-38.667499999999997</v>
      </c>
      <c r="N80" s="71">
        <f t="shared" ref="N80:N82" si="14">H80+K80</f>
        <v>81.709999999999994</v>
      </c>
      <c r="O80" s="72">
        <f t="shared" ref="O80:O82" si="15">I80</f>
        <v>154.66999999999999</v>
      </c>
      <c r="P80" s="274">
        <f t="shared" ref="P80:P82" si="16">N80*O80</f>
        <v>12638.085699999998</v>
      </c>
      <c r="Q80" s="291">
        <f t="shared" ref="Q80:Q82" si="17">ROUND(169.4/164.52*H80,2)</f>
        <v>84.39</v>
      </c>
      <c r="X80" s="194"/>
    </row>
    <row r="81" spans="2:24" s="170" customFormat="1" ht="12.75" x14ac:dyDescent="0.2">
      <c r="B81" s="165"/>
      <c r="C81" s="252"/>
      <c r="D81" s="253" t="s">
        <v>4</v>
      </c>
      <c r="E81" s="254" t="s">
        <v>412</v>
      </c>
      <c r="F81" s="254" t="s">
        <v>413</v>
      </c>
      <c r="G81" s="252"/>
      <c r="H81" s="252"/>
      <c r="I81" s="255"/>
      <c r="J81" s="256">
        <f>+SUBTOTAL(9,J82)</f>
        <v>52025.599999999999</v>
      </c>
      <c r="K81" s="261"/>
      <c r="L81" s="262"/>
      <c r="M81" s="279">
        <f>M82</f>
        <v>-157.89959999999999</v>
      </c>
      <c r="N81" s="280"/>
      <c r="O81" s="262"/>
      <c r="P81" s="279">
        <f>P82</f>
        <v>51867.730199999998</v>
      </c>
      <c r="Q81" s="291">
        <f t="shared" si="17"/>
        <v>0</v>
      </c>
      <c r="W81" s="121"/>
      <c r="X81" s="194"/>
    </row>
    <row r="82" spans="2:24" s="121" customFormat="1" ht="12" x14ac:dyDescent="0.2">
      <c r="B82" s="120"/>
      <c r="C82" s="56" t="s">
        <v>285</v>
      </c>
      <c r="D82" s="56" t="s">
        <v>96</v>
      </c>
      <c r="E82" s="57" t="s">
        <v>415</v>
      </c>
      <c r="F82" s="58" t="s">
        <v>416</v>
      </c>
      <c r="G82" s="59" t="s">
        <v>201</v>
      </c>
      <c r="H82" s="60">
        <v>454.69</v>
      </c>
      <c r="I82" s="61">
        <v>114.42</v>
      </c>
      <c r="J82" s="60">
        <v>52025.599999999999</v>
      </c>
      <c r="K82" s="68">
        <f t="shared" ref="K82" si="18">ROUND(168.9/169.4*Q82-Q82,2)</f>
        <v>-1.38</v>
      </c>
      <c r="L82" s="69">
        <f t="shared" si="12"/>
        <v>114.42</v>
      </c>
      <c r="M82" s="273">
        <f t="shared" si="13"/>
        <v>-157.89959999999999</v>
      </c>
      <c r="N82" s="71">
        <f t="shared" si="14"/>
        <v>453.31</v>
      </c>
      <c r="O82" s="72">
        <f t="shared" si="15"/>
        <v>114.42</v>
      </c>
      <c r="P82" s="274">
        <f t="shared" si="16"/>
        <v>51867.730199999998</v>
      </c>
      <c r="Q82" s="291">
        <f t="shared" si="17"/>
        <v>468.18</v>
      </c>
      <c r="X82" s="194"/>
    </row>
    <row r="83" spans="2:24" s="121" customFormat="1" x14ac:dyDescent="0.2">
      <c r="B83" s="120"/>
      <c r="C83" s="120"/>
      <c r="D83" s="120"/>
      <c r="E83" s="120"/>
      <c r="F83" s="120"/>
      <c r="G83" s="120"/>
      <c r="H83" s="120"/>
      <c r="I83" s="153"/>
      <c r="J83" s="120"/>
    </row>
    <row r="84" spans="2:24" ht="12.75" x14ac:dyDescent="0.2">
      <c r="D84" s="42"/>
      <c r="E84" s="43" t="s">
        <v>896</v>
      </c>
      <c r="F84" s="44"/>
      <c r="G84" s="44"/>
      <c r="H84" s="45"/>
      <c r="I84" s="44"/>
      <c r="J84" s="46">
        <f>ROUND(SUBTOTAL(9,J12:J82),2)</f>
        <v>1724109</v>
      </c>
      <c r="K84" s="49"/>
      <c r="L84" s="46"/>
      <c r="M84" s="281">
        <f>M81+M77+M74+M53+M47+M40+M37+M14</f>
        <v>-3483.4871999999996</v>
      </c>
      <c r="N84" s="49"/>
      <c r="O84" s="46"/>
      <c r="P84" s="281">
        <f>P81+P77+P74+P53+P47+P40+P37+P14</f>
        <v>1720625.6681000004</v>
      </c>
      <c r="Q84" s="281"/>
    </row>
    <row r="85" spans="2:24" ht="12.75" x14ac:dyDescent="0.2">
      <c r="H85" s="50"/>
      <c r="I85" s="8"/>
      <c r="J85" s="9"/>
    </row>
    <row r="86" spans="2:24" ht="14.25" x14ac:dyDescent="0.2">
      <c r="E86" s="6" t="s">
        <v>849</v>
      </c>
      <c r="F86" s="6"/>
      <c r="G86" s="320" t="s">
        <v>1224</v>
      </c>
      <c r="H86" s="50"/>
      <c r="I86" s="8"/>
      <c r="J86" s="6"/>
      <c r="K86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82" xr:uid="{87FAEA0E-D4F7-4036-8B13-C6BF00C1E349}"/>
  <mergeCells count="3">
    <mergeCell ref="K9:M9"/>
    <mergeCell ref="N9:P9"/>
    <mergeCell ref="R57:R60"/>
  </mergeCells>
  <conditionalFormatting sqref="G86:I86 L86:P86">
    <cfRule type="cellIs" dxfId="414" priority="4" operator="lessThan">
      <formula>0</formula>
    </cfRule>
  </conditionalFormatting>
  <conditionalFormatting sqref="G86:I86 L86:M86">
    <cfRule type="cellIs" dxfId="413" priority="3" operator="lessThan">
      <formula>0</formula>
    </cfRule>
  </conditionalFormatting>
  <conditionalFormatting sqref="G86:I86">
    <cfRule type="cellIs" dxfId="412" priority="2" operator="lessThan">
      <formula>0</formula>
    </cfRule>
  </conditionalFormatting>
  <conditionalFormatting sqref="G86:I86">
    <cfRule type="cellIs" dxfId="411" priority="1" operator="lessThan">
      <formula>0</formula>
    </cfRule>
  </conditionalFormatting>
  <pageMargins left="0.39370078740157483" right="0.17" top="0.39370078740157483" bottom="0.39370078740157483" header="0" footer="0"/>
  <pageSetup paperSize="9" scale="63" fitToHeight="0" orientation="landscape" r:id="rId1"/>
  <headerFooter>
    <oddFooter>&amp;CStrana &amp;P z &amp;N</oddFoot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FF0000"/>
    <pageSetUpPr fitToPage="1"/>
  </sheetPr>
  <dimension ref="B1:AT101"/>
  <sheetViews>
    <sheetView showGridLines="0" view="pageBreakPreview" topLeftCell="A70" zoomScale="85" zoomScaleNormal="85" zoomScaleSheetLayoutView="85" workbookViewId="0">
      <selection activeCell="J93" sqref="J93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8.33203125" style="8" customWidth="1"/>
    <col min="11" max="11" width="11.5" style="8" customWidth="1"/>
    <col min="12" max="12" width="23" style="8" customWidth="1"/>
    <col min="13" max="13" width="21" style="8" bestFit="1" customWidth="1"/>
    <col min="14" max="14" width="9.33203125" style="8"/>
    <col min="15" max="15" width="21.1640625" style="8" customWidth="1"/>
    <col min="16" max="16" width="18.83203125" style="8" customWidth="1"/>
    <col min="17" max="17" width="26.1640625" style="8" hidden="1" customWidth="1"/>
    <col min="18" max="21" width="0" style="8" hidden="1" customWidth="1"/>
    <col min="22" max="22" width="23.5" style="8" hidden="1" customWidth="1"/>
    <col min="23" max="23" width="17.6640625" style="8" hidden="1" customWidth="1"/>
    <col min="24" max="24" width="26" style="8" hidden="1" customWidth="1"/>
    <col min="25" max="25" width="23.33203125" style="8" hidden="1" customWidth="1"/>
    <col min="26" max="27" width="0" style="8" hidden="1" customWidth="1"/>
    <col min="28" max="28" width="32.6640625" style="8" hidden="1" customWidth="1"/>
    <col min="29" max="41" width="0" style="8" hidden="1" customWidth="1"/>
    <col min="42" max="42" width="26.83203125" style="8" hidden="1" customWidth="1"/>
    <col min="43" max="43" width="0" style="8" hidden="1" customWidth="1"/>
    <col min="44" max="44" width="16.6640625" style="8" customWidth="1"/>
    <col min="45" max="45" width="13" style="8" customWidth="1"/>
    <col min="46" max="16384" width="9.33203125" style="8"/>
  </cols>
  <sheetData>
    <row r="1" spans="2:46" ht="18.95" customHeight="1" x14ac:dyDescent="0.2">
      <c r="F1" s="11"/>
      <c r="G1" s="89"/>
      <c r="H1" s="88"/>
      <c r="I1" s="8"/>
      <c r="J1" s="9"/>
    </row>
    <row r="2" spans="2:46" s="88" customFormat="1" ht="18" customHeight="1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</row>
    <row r="3" spans="2:46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46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46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46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46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46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C - Stoka C</v>
      </c>
      <c r="M8" s="150"/>
      <c r="O8" s="151"/>
    </row>
    <row r="9" spans="2:46" s="15" customFormat="1" ht="20.100000000000001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</row>
    <row r="10" spans="2:46" s="15" customFormat="1" ht="24" customHeight="1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189" t="s">
        <v>1044</v>
      </c>
      <c r="V10" s="189" t="s">
        <v>1060</v>
      </c>
      <c r="X10" s="189" t="s">
        <v>1089</v>
      </c>
      <c r="Y10" s="189" t="s">
        <v>1110</v>
      </c>
      <c r="AB10" s="189" t="s">
        <v>1136</v>
      </c>
      <c r="AP10" s="189" t="s">
        <v>1163</v>
      </c>
      <c r="AS10" s="189" t="s">
        <v>1196</v>
      </c>
    </row>
    <row r="11" spans="2:46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46" s="121" customFormat="1" ht="22.9" customHeight="1" x14ac:dyDescent="0.25">
      <c r="B12" s="120"/>
      <c r="C12" s="152" t="s">
        <v>489</v>
      </c>
      <c r="D12" s="120"/>
      <c r="E12" s="120"/>
      <c r="F12" s="120"/>
      <c r="G12" s="120"/>
      <c r="H12" s="120"/>
      <c r="I12" s="153"/>
      <c r="J12" s="154">
        <f>+SUBTOTAL(9,J13:J97)</f>
        <v>9461322.9999999944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46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+SUBTOTAL(9,J14:J97)</f>
        <v>9461322.9999999944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46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+SUBTOTAL(9,J15:J39)</f>
        <v>3780932.5999999996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SUM(M15:M39)</f>
        <v>-23515.1836</v>
      </c>
      <c r="N14" s="278" t="str">
        <f>IF(ISBLANK(H14),"",H14-K14)</f>
        <v/>
      </c>
      <c r="O14" s="272" t="str">
        <f>IF(ISBLANK(H14),"",J14-L14)</f>
        <v/>
      </c>
      <c r="P14" s="272">
        <f>SUM(P15:P39)</f>
        <v>3757417.5458000004</v>
      </c>
      <c r="AR14" s="218" t="s">
        <v>1216</v>
      </c>
    </row>
    <row r="15" spans="2:46" s="121" customFormat="1" ht="16.5" customHeight="1" x14ac:dyDescent="0.2">
      <c r="B15" s="120"/>
      <c r="C15" s="56" t="s">
        <v>8</v>
      </c>
      <c r="D15" s="56" t="s">
        <v>96</v>
      </c>
      <c r="E15" s="57" t="s">
        <v>106</v>
      </c>
      <c r="F15" s="58" t="s">
        <v>107</v>
      </c>
      <c r="G15" s="59" t="s">
        <v>108</v>
      </c>
      <c r="H15" s="60">
        <v>633.71</v>
      </c>
      <c r="I15" s="61">
        <v>31.57</v>
      </c>
      <c r="J15" s="60">
        <v>20006.2</v>
      </c>
      <c r="K15" s="68">
        <f>ROUND(897.1/902.5*AR15-AR15,2)</f>
        <v>-4.04</v>
      </c>
      <c r="L15" s="69">
        <f>I15</f>
        <v>31.57</v>
      </c>
      <c r="M15" s="273">
        <f>K15*L15</f>
        <v>-127.5428</v>
      </c>
      <c r="N15" s="71">
        <f>H15+K15</f>
        <v>629.67000000000007</v>
      </c>
      <c r="O15" s="72">
        <f>I15</f>
        <v>31.57</v>
      </c>
      <c r="P15" s="274">
        <f>N15*O15</f>
        <v>19878.681900000003</v>
      </c>
      <c r="U15" s="121">
        <f t="shared" ref="U15:U39" si="0">0.38*H15</f>
        <v>240.80980000000002</v>
      </c>
      <c r="AR15" s="121">
        <f>ROUND(902.5/847.12*H15,2)</f>
        <v>675.14</v>
      </c>
      <c r="AT15" s="194"/>
    </row>
    <row r="16" spans="2:46" s="121" customFormat="1" ht="16.5" customHeight="1" x14ac:dyDescent="0.2">
      <c r="B16" s="120"/>
      <c r="C16" s="56" t="s">
        <v>13</v>
      </c>
      <c r="D16" s="56" t="s">
        <v>96</v>
      </c>
      <c r="E16" s="57" t="s">
        <v>110</v>
      </c>
      <c r="F16" s="58" t="s">
        <v>111</v>
      </c>
      <c r="G16" s="59" t="s">
        <v>108</v>
      </c>
      <c r="H16" s="60">
        <v>633.71</v>
      </c>
      <c r="I16" s="61">
        <v>23.67</v>
      </c>
      <c r="J16" s="60">
        <v>14999.9</v>
      </c>
      <c r="K16" s="68">
        <f t="shared" ref="K16:K42" si="1">ROUND(897.1/902.5*AR16-AR16,2)</f>
        <v>-4.04</v>
      </c>
      <c r="L16" s="69">
        <f t="shared" ref="L16:L79" si="2">I16</f>
        <v>23.67</v>
      </c>
      <c r="M16" s="273">
        <f t="shared" ref="M16:M79" si="3">K16*L16</f>
        <v>-95.626800000000003</v>
      </c>
      <c r="N16" s="71">
        <f t="shared" ref="N16:N79" si="4">H16+K16</f>
        <v>629.67000000000007</v>
      </c>
      <c r="O16" s="72">
        <f t="shared" ref="O16:O79" si="5">I16</f>
        <v>23.67</v>
      </c>
      <c r="P16" s="274">
        <f t="shared" ref="P16:P79" si="6">N16*O16</f>
        <v>14904.288900000003</v>
      </c>
      <c r="U16" s="121">
        <f t="shared" si="0"/>
        <v>240.80980000000002</v>
      </c>
      <c r="V16" s="334" t="s">
        <v>1071</v>
      </c>
      <c r="W16" s="121" t="s">
        <v>1085</v>
      </c>
      <c r="X16" s="337" t="s">
        <v>1098</v>
      </c>
      <c r="AR16" s="121">
        <f t="shared" ref="AR16:AR79" si="7">ROUND(902.5/847.12*H16,2)</f>
        <v>675.14</v>
      </c>
      <c r="AT16" s="194"/>
    </row>
    <row r="17" spans="2:46" s="121" customFormat="1" ht="16.5" customHeight="1" x14ac:dyDescent="0.2">
      <c r="B17" s="120"/>
      <c r="C17" s="56" t="s">
        <v>100</v>
      </c>
      <c r="D17" s="56" t="s">
        <v>96</v>
      </c>
      <c r="E17" s="57" t="s">
        <v>113</v>
      </c>
      <c r="F17" s="58" t="s">
        <v>114</v>
      </c>
      <c r="G17" s="59" t="s">
        <v>108</v>
      </c>
      <c r="H17" s="60">
        <v>633.71</v>
      </c>
      <c r="I17" s="61">
        <v>26.3</v>
      </c>
      <c r="J17" s="60">
        <v>16666.599999999999</v>
      </c>
      <c r="K17" s="68">
        <f t="shared" si="1"/>
        <v>-4.04</v>
      </c>
      <c r="L17" s="69">
        <f t="shared" si="2"/>
        <v>26.3</v>
      </c>
      <c r="M17" s="273">
        <f t="shared" si="3"/>
        <v>-106.25200000000001</v>
      </c>
      <c r="N17" s="71">
        <f t="shared" si="4"/>
        <v>629.67000000000007</v>
      </c>
      <c r="O17" s="72">
        <f t="shared" si="5"/>
        <v>26.3</v>
      </c>
      <c r="P17" s="274">
        <f t="shared" si="6"/>
        <v>16560.321000000004</v>
      </c>
      <c r="U17" s="121">
        <f t="shared" si="0"/>
        <v>240.80980000000002</v>
      </c>
      <c r="V17" s="334"/>
      <c r="W17" s="121" t="s">
        <v>1085</v>
      </c>
      <c r="X17" s="337"/>
      <c r="AR17" s="121">
        <f t="shared" si="7"/>
        <v>675.14</v>
      </c>
      <c r="AT17" s="194"/>
    </row>
    <row r="18" spans="2:46" s="121" customFormat="1" ht="16.5" customHeight="1" x14ac:dyDescent="0.2">
      <c r="B18" s="120"/>
      <c r="C18" s="56" t="s">
        <v>105</v>
      </c>
      <c r="D18" s="56" t="s">
        <v>96</v>
      </c>
      <c r="E18" s="57" t="s">
        <v>116</v>
      </c>
      <c r="F18" s="58" t="s">
        <v>117</v>
      </c>
      <c r="G18" s="59" t="s">
        <v>108</v>
      </c>
      <c r="H18" s="60">
        <v>357.06</v>
      </c>
      <c r="I18" s="61">
        <v>40.770000000000003</v>
      </c>
      <c r="J18" s="60">
        <v>14557.3</v>
      </c>
      <c r="K18" s="68">
        <f t="shared" si="1"/>
        <v>-2.2799999999999998</v>
      </c>
      <c r="L18" s="69">
        <f t="shared" si="2"/>
        <v>40.770000000000003</v>
      </c>
      <c r="M18" s="273">
        <f t="shared" si="3"/>
        <v>-92.955600000000004</v>
      </c>
      <c r="N18" s="71">
        <f t="shared" si="4"/>
        <v>354.78000000000003</v>
      </c>
      <c r="O18" s="72">
        <f t="shared" si="5"/>
        <v>40.770000000000003</v>
      </c>
      <c r="P18" s="274">
        <f t="shared" si="6"/>
        <v>14464.380600000002</v>
      </c>
      <c r="U18" s="121">
        <f t="shared" si="0"/>
        <v>135.68280000000001</v>
      </c>
      <c r="AQ18" s="194"/>
      <c r="AR18" s="121">
        <f t="shared" si="7"/>
        <v>380.4</v>
      </c>
      <c r="AT18" s="194"/>
    </row>
    <row r="19" spans="2:46" s="121" customFormat="1" ht="16.5" customHeight="1" x14ac:dyDescent="0.2">
      <c r="B19" s="120"/>
      <c r="C19" s="56" t="s">
        <v>109</v>
      </c>
      <c r="D19" s="56" t="s">
        <v>96</v>
      </c>
      <c r="E19" s="57" t="s">
        <v>125</v>
      </c>
      <c r="F19" s="58" t="s">
        <v>126</v>
      </c>
      <c r="G19" s="59" t="s">
        <v>108</v>
      </c>
      <c r="H19" s="60">
        <v>681.66</v>
      </c>
      <c r="I19" s="61">
        <v>55.24</v>
      </c>
      <c r="J19" s="60">
        <v>37654.9</v>
      </c>
      <c r="K19" s="68">
        <v>0</v>
      </c>
      <c r="L19" s="69">
        <f t="shared" si="2"/>
        <v>55.24</v>
      </c>
      <c r="M19" s="273">
        <f t="shared" si="3"/>
        <v>0</v>
      </c>
      <c r="N19" s="71">
        <f t="shared" si="4"/>
        <v>681.66</v>
      </c>
      <c r="O19" s="72">
        <f t="shared" si="5"/>
        <v>55.24</v>
      </c>
      <c r="P19" s="274">
        <f t="shared" si="6"/>
        <v>37654.898399999998</v>
      </c>
      <c r="U19" s="121">
        <f t="shared" si="0"/>
        <v>259.0308</v>
      </c>
      <c r="AQ19" s="194"/>
      <c r="AR19" s="121">
        <f t="shared" si="7"/>
        <v>726.22</v>
      </c>
      <c r="AT19" s="194"/>
    </row>
    <row r="20" spans="2:46" s="121" customFormat="1" ht="16.5" customHeight="1" x14ac:dyDescent="0.2">
      <c r="B20" s="120"/>
      <c r="C20" s="56" t="s">
        <v>112</v>
      </c>
      <c r="D20" s="56" t="s">
        <v>96</v>
      </c>
      <c r="E20" s="57" t="s">
        <v>128</v>
      </c>
      <c r="F20" s="58" t="s">
        <v>129</v>
      </c>
      <c r="G20" s="59" t="s">
        <v>108</v>
      </c>
      <c r="H20" s="60">
        <v>357.06</v>
      </c>
      <c r="I20" s="61">
        <v>151.25</v>
      </c>
      <c r="J20" s="60">
        <v>54005.3</v>
      </c>
      <c r="K20" s="68">
        <v>0</v>
      </c>
      <c r="L20" s="69">
        <f t="shared" si="2"/>
        <v>151.25</v>
      </c>
      <c r="M20" s="273">
        <f t="shared" si="3"/>
        <v>0</v>
      </c>
      <c r="N20" s="71">
        <f t="shared" si="4"/>
        <v>357.06</v>
      </c>
      <c r="O20" s="72">
        <f t="shared" si="5"/>
        <v>151.25</v>
      </c>
      <c r="P20" s="274">
        <f t="shared" si="6"/>
        <v>54005.324999999997</v>
      </c>
      <c r="U20" s="121">
        <f t="shared" si="0"/>
        <v>135.68280000000001</v>
      </c>
      <c r="AQ20" s="194"/>
      <c r="AR20" s="121">
        <f t="shared" si="7"/>
        <v>380.4</v>
      </c>
      <c r="AT20" s="194"/>
    </row>
    <row r="21" spans="2:46" s="121" customFormat="1" ht="16.5" customHeight="1" x14ac:dyDescent="0.2">
      <c r="B21" s="120"/>
      <c r="C21" s="56" t="s">
        <v>115</v>
      </c>
      <c r="D21" s="56" t="s">
        <v>96</v>
      </c>
      <c r="E21" s="57" t="s">
        <v>142</v>
      </c>
      <c r="F21" s="58" t="s">
        <v>143</v>
      </c>
      <c r="G21" s="59" t="s">
        <v>133</v>
      </c>
      <c r="H21" s="60">
        <v>25.3</v>
      </c>
      <c r="I21" s="61">
        <v>170.98</v>
      </c>
      <c r="J21" s="60">
        <v>4325.8</v>
      </c>
      <c r="K21" s="68">
        <f t="shared" si="1"/>
        <v>-0.16</v>
      </c>
      <c r="L21" s="69">
        <f t="shared" si="2"/>
        <v>170.98</v>
      </c>
      <c r="M21" s="273">
        <f t="shared" si="3"/>
        <v>-27.3568</v>
      </c>
      <c r="N21" s="71">
        <f t="shared" si="4"/>
        <v>25.14</v>
      </c>
      <c r="O21" s="72">
        <f t="shared" si="5"/>
        <v>170.98</v>
      </c>
      <c r="P21" s="274">
        <f t="shared" si="6"/>
        <v>4298.4371999999994</v>
      </c>
      <c r="U21" s="121">
        <f t="shared" si="0"/>
        <v>9.6140000000000008</v>
      </c>
      <c r="V21" s="121">
        <f t="shared" ref="V21:V39" si="8">0.14*H21</f>
        <v>3.5420000000000003</v>
      </c>
      <c r="W21" s="194">
        <f>N21-V21</f>
        <v>21.597999999999999</v>
      </c>
      <c r="AQ21" s="194"/>
      <c r="AR21" s="121">
        <f t="shared" si="7"/>
        <v>26.95</v>
      </c>
      <c r="AT21" s="194"/>
    </row>
    <row r="22" spans="2:46" s="121" customFormat="1" ht="16.5" customHeight="1" x14ac:dyDescent="0.2">
      <c r="B22" s="120"/>
      <c r="C22" s="56" t="s">
        <v>118</v>
      </c>
      <c r="D22" s="56" t="s">
        <v>96</v>
      </c>
      <c r="E22" s="57" t="s">
        <v>145</v>
      </c>
      <c r="F22" s="58" t="s">
        <v>146</v>
      </c>
      <c r="G22" s="59" t="s">
        <v>133</v>
      </c>
      <c r="H22" s="60">
        <v>37.4</v>
      </c>
      <c r="I22" s="61">
        <v>147.30000000000001</v>
      </c>
      <c r="J22" s="60">
        <v>5509</v>
      </c>
      <c r="K22" s="68">
        <f t="shared" si="1"/>
        <v>-0.24</v>
      </c>
      <c r="L22" s="69">
        <f t="shared" si="2"/>
        <v>147.30000000000001</v>
      </c>
      <c r="M22" s="273">
        <f t="shared" si="3"/>
        <v>-35.352000000000004</v>
      </c>
      <c r="N22" s="71">
        <f t="shared" si="4"/>
        <v>37.159999999999997</v>
      </c>
      <c r="O22" s="72">
        <f t="shared" si="5"/>
        <v>147.30000000000001</v>
      </c>
      <c r="P22" s="274">
        <f t="shared" si="6"/>
        <v>5473.6679999999997</v>
      </c>
      <c r="U22" s="121">
        <f t="shared" si="0"/>
        <v>14.212</v>
      </c>
      <c r="V22" s="121">
        <f t="shared" si="8"/>
        <v>5.2360000000000007</v>
      </c>
      <c r="W22" s="194">
        <f t="shared" ref="W22:W39" si="9">N22-V22</f>
        <v>31.923999999999996</v>
      </c>
      <c r="AQ22" s="194"/>
      <c r="AR22" s="121">
        <f t="shared" si="7"/>
        <v>39.85</v>
      </c>
      <c r="AT22" s="194"/>
    </row>
    <row r="23" spans="2:46" s="121" customFormat="1" ht="16.5" customHeight="1" x14ac:dyDescent="0.2">
      <c r="B23" s="120"/>
      <c r="C23" s="56" t="s">
        <v>121</v>
      </c>
      <c r="D23" s="56" t="s">
        <v>96</v>
      </c>
      <c r="E23" s="57" t="s">
        <v>155</v>
      </c>
      <c r="F23" s="58" t="s">
        <v>156</v>
      </c>
      <c r="G23" s="59" t="s">
        <v>150</v>
      </c>
      <c r="H23" s="60">
        <v>203.89</v>
      </c>
      <c r="I23" s="61">
        <v>257.77999999999997</v>
      </c>
      <c r="J23" s="60">
        <v>52558.8</v>
      </c>
      <c r="K23" s="68">
        <f t="shared" si="1"/>
        <v>-1.3</v>
      </c>
      <c r="L23" s="69">
        <f t="shared" si="2"/>
        <v>257.77999999999997</v>
      </c>
      <c r="M23" s="273">
        <f t="shared" si="3"/>
        <v>-335.11399999999998</v>
      </c>
      <c r="N23" s="71">
        <f t="shared" si="4"/>
        <v>202.58999999999997</v>
      </c>
      <c r="O23" s="72">
        <f t="shared" si="5"/>
        <v>257.77999999999997</v>
      </c>
      <c r="P23" s="274">
        <f t="shared" si="6"/>
        <v>52223.650199999989</v>
      </c>
      <c r="U23" s="121">
        <f t="shared" si="0"/>
        <v>77.478200000000001</v>
      </c>
      <c r="V23" s="121">
        <f t="shared" si="8"/>
        <v>28.544599999999999</v>
      </c>
      <c r="W23" s="194">
        <f t="shared" si="9"/>
        <v>174.04539999999997</v>
      </c>
      <c r="AQ23" s="194"/>
      <c r="AR23" s="121">
        <f t="shared" si="7"/>
        <v>217.22</v>
      </c>
      <c r="AT23" s="194"/>
    </row>
    <row r="24" spans="2:46" s="121" customFormat="1" ht="16.5" customHeight="1" x14ac:dyDescent="0.2">
      <c r="B24" s="120"/>
      <c r="C24" s="56" t="s">
        <v>124</v>
      </c>
      <c r="D24" s="56" t="s">
        <v>96</v>
      </c>
      <c r="E24" s="57" t="s">
        <v>157</v>
      </c>
      <c r="F24" s="58" t="s">
        <v>158</v>
      </c>
      <c r="G24" s="59" t="s">
        <v>150</v>
      </c>
      <c r="H24" s="60">
        <v>907.55</v>
      </c>
      <c r="I24" s="61">
        <v>257.77999999999997</v>
      </c>
      <c r="J24" s="60">
        <v>233948.2</v>
      </c>
      <c r="K24" s="68">
        <f t="shared" si="1"/>
        <v>-5.79</v>
      </c>
      <c r="L24" s="69">
        <f t="shared" si="2"/>
        <v>257.77999999999997</v>
      </c>
      <c r="M24" s="273">
        <f t="shared" si="3"/>
        <v>-1492.5461999999998</v>
      </c>
      <c r="N24" s="71">
        <f t="shared" si="4"/>
        <v>901.76</v>
      </c>
      <c r="O24" s="72">
        <f t="shared" si="5"/>
        <v>257.77999999999997</v>
      </c>
      <c r="P24" s="274">
        <f t="shared" si="6"/>
        <v>232455.69279999996</v>
      </c>
      <c r="U24" s="121">
        <f t="shared" si="0"/>
        <v>344.86899999999997</v>
      </c>
      <c r="V24" s="121">
        <f t="shared" si="8"/>
        <v>127.057</v>
      </c>
      <c r="W24" s="194">
        <f t="shared" si="9"/>
        <v>774.70299999999997</v>
      </c>
      <c r="AQ24" s="194"/>
      <c r="AR24" s="121">
        <f t="shared" si="7"/>
        <v>966.88</v>
      </c>
      <c r="AT24" s="194"/>
    </row>
    <row r="25" spans="2:46" s="121" customFormat="1" ht="16.5" customHeight="1" x14ac:dyDescent="0.2">
      <c r="B25" s="120"/>
      <c r="C25" s="56" t="s">
        <v>127</v>
      </c>
      <c r="D25" s="56" t="s">
        <v>96</v>
      </c>
      <c r="E25" s="57" t="s">
        <v>160</v>
      </c>
      <c r="F25" s="58" t="s">
        <v>161</v>
      </c>
      <c r="G25" s="59" t="s">
        <v>150</v>
      </c>
      <c r="H25" s="60">
        <v>272.27</v>
      </c>
      <c r="I25" s="61">
        <v>13.15</v>
      </c>
      <c r="J25" s="60">
        <v>3580.4</v>
      </c>
      <c r="K25" s="68">
        <f t="shared" si="1"/>
        <v>-1.74</v>
      </c>
      <c r="L25" s="69">
        <f t="shared" si="2"/>
        <v>13.15</v>
      </c>
      <c r="M25" s="273">
        <f t="shared" si="3"/>
        <v>-22.881</v>
      </c>
      <c r="N25" s="71">
        <f t="shared" si="4"/>
        <v>270.52999999999997</v>
      </c>
      <c r="O25" s="72">
        <f t="shared" si="5"/>
        <v>13.15</v>
      </c>
      <c r="P25" s="274">
        <f t="shared" si="6"/>
        <v>3557.4694999999997</v>
      </c>
      <c r="U25" s="121">
        <f t="shared" si="0"/>
        <v>103.46259999999999</v>
      </c>
      <c r="V25" s="121">
        <f t="shared" si="8"/>
        <v>38.117800000000003</v>
      </c>
      <c r="W25" s="194">
        <f t="shared" si="9"/>
        <v>232.41219999999998</v>
      </c>
      <c r="AQ25" s="194"/>
      <c r="AR25" s="121">
        <f t="shared" si="7"/>
        <v>290.07</v>
      </c>
      <c r="AT25" s="194"/>
    </row>
    <row r="26" spans="2:46" s="121" customFormat="1" ht="16.5" customHeight="1" x14ac:dyDescent="0.2">
      <c r="B26" s="120"/>
      <c r="C26" s="56" t="s">
        <v>130</v>
      </c>
      <c r="D26" s="56" t="s">
        <v>96</v>
      </c>
      <c r="E26" s="57" t="s">
        <v>163</v>
      </c>
      <c r="F26" s="58" t="s">
        <v>164</v>
      </c>
      <c r="G26" s="59" t="s">
        <v>150</v>
      </c>
      <c r="H26" s="60">
        <v>1144.2</v>
      </c>
      <c r="I26" s="61">
        <v>315.64999999999998</v>
      </c>
      <c r="J26" s="60">
        <v>361166.7</v>
      </c>
      <c r="K26" s="68">
        <f t="shared" si="1"/>
        <v>-7.29</v>
      </c>
      <c r="L26" s="69">
        <f t="shared" si="2"/>
        <v>315.64999999999998</v>
      </c>
      <c r="M26" s="273">
        <f t="shared" si="3"/>
        <v>-2301.0884999999998</v>
      </c>
      <c r="N26" s="71">
        <f t="shared" si="4"/>
        <v>1136.9100000000001</v>
      </c>
      <c r="O26" s="72">
        <f t="shared" si="5"/>
        <v>315.64999999999998</v>
      </c>
      <c r="P26" s="274">
        <f t="shared" si="6"/>
        <v>358865.64150000003</v>
      </c>
      <c r="U26" s="121">
        <f t="shared" si="0"/>
        <v>434.79600000000005</v>
      </c>
      <c r="V26" s="121">
        <f t="shared" si="8"/>
        <v>160.18800000000002</v>
      </c>
      <c r="W26" s="194">
        <f t="shared" si="9"/>
        <v>976.72200000000009</v>
      </c>
      <c r="AQ26" s="194"/>
      <c r="AR26" s="121">
        <f t="shared" si="7"/>
        <v>1219</v>
      </c>
      <c r="AT26" s="194"/>
    </row>
    <row r="27" spans="2:46" s="121" customFormat="1" ht="16.5" customHeight="1" x14ac:dyDescent="0.2">
      <c r="B27" s="120"/>
      <c r="C27" s="56" t="s">
        <v>134</v>
      </c>
      <c r="D27" s="56" t="s">
        <v>96</v>
      </c>
      <c r="E27" s="57" t="s">
        <v>166</v>
      </c>
      <c r="F27" s="58" t="s">
        <v>167</v>
      </c>
      <c r="G27" s="59" t="s">
        <v>150</v>
      </c>
      <c r="H27" s="60">
        <v>343.26</v>
      </c>
      <c r="I27" s="61">
        <v>15.78</v>
      </c>
      <c r="J27" s="60">
        <v>5416.6</v>
      </c>
      <c r="K27" s="68">
        <f t="shared" si="1"/>
        <v>-2.19</v>
      </c>
      <c r="L27" s="69">
        <f t="shared" si="2"/>
        <v>15.78</v>
      </c>
      <c r="M27" s="273">
        <f t="shared" si="3"/>
        <v>-34.558199999999999</v>
      </c>
      <c r="N27" s="71">
        <f t="shared" si="4"/>
        <v>341.07</v>
      </c>
      <c r="O27" s="72">
        <f t="shared" si="5"/>
        <v>15.78</v>
      </c>
      <c r="P27" s="274">
        <f t="shared" si="6"/>
        <v>5382.0845999999992</v>
      </c>
      <c r="U27" s="121">
        <f t="shared" si="0"/>
        <v>130.43879999999999</v>
      </c>
      <c r="V27" s="121">
        <f t="shared" si="8"/>
        <v>48.056400000000004</v>
      </c>
      <c r="W27" s="194">
        <f t="shared" si="9"/>
        <v>293.0136</v>
      </c>
      <c r="AQ27" s="194"/>
      <c r="AR27" s="121">
        <f t="shared" si="7"/>
        <v>365.7</v>
      </c>
      <c r="AT27" s="194"/>
    </row>
    <row r="28" spans="2:46" s="121" customFormat="1" ht="16.5" customHeight="1" x14ac:dyDescent="0.2">
      <c r="B28" s="120"/>
      <c r="C28" s="56" t="s">
        <v>2</v>
      </c>
      <c r="D28" s="56" t="s">
        <v>96</v>
      </c>
      <c r="E28" s="57" t="s">
        <v>169</v>
      </c>
      <c r="F28" s="58" t="s">
        <v>170</v>
      </c>
      <c r="G28" s="59" t="s">
        <v>150</v>
      </c>
      <c r="H28" s="60">
        <v>53.67</v>
      </c>
      <c r="I28" s="61">
        <v>837.79</v>
      </c>
      <c r="J28" s="60">
        <v>44964.2</v>
      </c>
      <c r="K28" s="68">
        <f t="shared" si="1"/>
        <v>-0.34</v>
      </c>
      <c r="L28" s="69">
        <f t="shared" si="2"/>
        <v>837.79</v>
      </c>
      <c r="M28" s="273">
        <f t="shared" si="3"/>
        <v>-284.84860000000003</v>
      </c>
      <c r="N28" s="71">
        <f t="shared" si="4"/>
        <v>53.33</v>
      </c>
      <c r="O28" s="72">
        <f t="shared" si="5"/>
        <v>837.79</v>
      </c>
      <c r="P28" s="274">
        <f t="shared" si="6"/>
        <v>44679.340699999993</v>
      </c>
      <c r="U28" s="121">
        <f t="shared" si="0"/>
        <v>20.394600000000001</v>
      </c>
      <c r="V28" s="121">
        <f t="shared" si="8"/>
        <v>7.5138000000000007</v>
      </c>
      <c r="W28" s="194">
        <f t="shared" si="9"/>
        <v>45.816199999999995</v>
      </c>
      <c r="AQ28" s="194"/>
      <c r="AR28" s="121">
        <f t="shared" si="7"/>
        <v>57.18</v>
      </c>
      <c r="AT28" s="194"/>
    </row>
    <row r="29" spans="2:46" s="121" customFormat="1" ht="16.5" customHeight="1" x14ac:dyDescent="0.2">
      <c r="B29" s="120"/>
      <c r="C29" s="56" t="s">
        <v>141</v>
      </c>
      <c r="D29" s="56" t="s">
        <v>96</v>
      </c>
      <c r="E29" s="57" t="s">
        <v>172</v>
      </c>
      <c r="F29" s="58" t="s">
        <v>173</v>
      </c>
      <c r="G29" s="59" t="s">
        <v>150</v>
      </c>
      <c r="H29" s="60">
        <v>334.23</v>
      </c>
      <c r="I29" s="61">
        <v>1116.6199999999999</v>
      </c>
      <c r="J29" s="60">
        <v>373207.9</v>
      </c>
      <c r="K29" s="68">
        <f t="shared" si="1"/>
        <v>-2.13</v>
      </c>
      <c r="L29" s="69">
        <f t="shared" si="2"/>
        <v>1116.6199999999999</v>
      </c>
      <c r="M29" s="273">
        <f t="shared" si="3"/>
        <v>-2378.4005999999995</v>
      </c>
      <c r="N29" s="71">
        <f t="shared" si="4"/>
        <v>332.1</v>
      </c>
      <c r="O29" s="72">
        <f t="shared" si="5"/>
        <v>1116.6199999999999</v>
      </c>
      <c r="P29" s="274">
        <f t="shared" si="6"/>
        <v>370829.50199999998</v>
      </c>
      <c r="U29" s="121">
        <f t="shared" si="0"/>
        <v>127.0074</v>
      </c>
      <c r="V29" s="121">
        <f t="shared" si="8"/>
        <v>46.792200000000008</v>
      </c>
      <c r="W29" s="194">
        <f t="shared" si="9"/>
        <v>285.30780000000004</v>
      </c>
      <c r="AQ29" s="194"/>
      <c r="AR29" s="121">
        <f t="shared" si="7"/>
        <v>356.08</v>
      </c>
      <c r="AT29" s="194"/>
    </row>
    <row r="30" spans="2:46" s="121" customFormat="1" ht="16.5" customHeight="1" x14ac:dyDescent="0.2">
      <c r="B30" s="120"/>
      <c r="C30" s="56" t="s">
        <v>144</v>
      </c>
      <c r="D30" s="56" t="s">
        <v>96</v>
      </c>
      <c r="E30" s="57" t="s">
        <v>175</v>
      </c>
      <c r="F30" s="58" t="s">
        <v>176</v>
      </c>
      <c r="G30" s="59" t="s">
        <v>108</v>
      </c>
      <c r="H30" s="60">
        <v>4513.3500000000004</v>
      </c>
      <c r="I30" s="61">
        <v>99.96</v>
      </c>
      <c r="J30" s="60">
        <v>451154.5</v>
      </c>
      <c r="K30" s="68">
        <f t="shared" si="1"/>
        <v>-28.77</v>
      </c>
      <c r="L30" s="69">
        <f t="shared" si="2"/>
        <v>99.96</v>
      </c>
      <c r="M30" s="273">
        <f t="shared" si="3"/>
        <v>-2875.8491999999997</v>
      </c>
      <c r="N30" s="71">
        <f t="shared" si="4"/>
        <v>4484.58</v>
      </c>
      <c r="O30" s="72">
        <f t="shared" si="5"/>
        <v>99.96</v>
      </c>
      <c r="P30" s="274">
        <f t="shared" si="6"/>
        <v>448278.61679999996</v>
      </c>
      <c r="U30" s="121">
        <f t="shared" si="0"/>
        <v>1715.0730000000001</v>
      </c>
      <c r="V30" s="121">
        <f t="shared" si="8"/>
        <v>631.86900000000014</v>
      </c>
      <c r="W30" s="194">
        <f t="shared" si="9"/>
        <v>3852.7109999999998</v>
      </c>
      <c r="AQ30" s="194"/>
      <c r="AR30" s="121">
        <f t="shared" si="7"/>
        <v>4808.41</v>
      </c>
      <c r="AT30" s="194"/>
    </row>
    <row r="31" spans="2:46" s="121" customFormat="1" ht="16.5" customHeight="1" x14ac:dyDescent="0.2">
      <c r="B31" s="120"/>
      <c r="C31" s="56" t="s">
        <v>147</v>
      </c>
      <c r="D31" s="56" t="s">
        <v>96</v>
      </c>
      <c r="E31" s="57" t="s">
        <v>181</v>
      </c>
      <c r="F31" s="58" t="s">
        <v>182</v>
      </c>
      <c r="G31" s="59" t="s">
        <v>108</v>
      </c>
      <c r="H31" s="60">
        <v>4513.3500000000004</v>
      </c>
      <c r="I31" s="61">
        <v>149.94</v>
      </c>
      <c r="J31" s="60">
        <v>676731.7</v>
      </c>
      <c r="K31" s="68">
        <f t="shared" si="1"/>
        <v>-28.77</v>
      </c>
      <c r="L31" s="69">
        <f t="shared" si="2"/>
        <v>149.94</v>
      </c>
      <c r="M31" s="273">
        <f t="shared" si="3"/>
        <v>-4313.7737999999999</v>
      </c>
      <c r="N31" s="71">
        <f t="shared" si="4"/>
        <v>4484.58</v>
      </c>
      <c r="O31" s="72">
        <f t="shared" si="5"/>
        <v>149.94</v>
      </c>
      <c r="P31" s="274">
        <f t="shared" si="6"/>
        <v>672417.92519999994</v>
      </c>
      <c r="U31" s="121">
        <f t="shared" si="0"/>
        <v>1715.0730000000001</v>
      </c>
      <c r="V31" s="121">
        <f t="shared" si="8"/>
        <v>631.86900000000014</v>
      </c>
      <c r="W31" s="194">
        <f t="shared" si="9"/>
        <v>3852.7109999999998</v>
      </c>
      <c r="AQ31" s="194"/>
      <c r="AR31" s="121">
        <f t="shared" si="7"/>
        <v>4808.41</v>
      </c>
      <c r="AT31" s="194"/>
    </row>
    <row r="32" spans="2:46" s="121" customFormat="1" ht="16.5" customHeight="1" x14ac:dyDescent="0.2">
      <c r="B32" s="120"/>
      <c r="C32" s="56" t="s">
        <v>151</v>
      </c>
      <c r="D32" s="56" t="s">
        <v>96</v>
      </c>
      <c r="E32" s="57" t="s">
        <v>187</v>
      </c>
      <c r="F32" s="58" t="s">
        <v>188</v>
      </c>
      <c r="G32" s="59" t="s">
        <v>150</v>
      </c>
      <c r="H32" s="60">
        <v>4053.66</v>
      </c>
      <c r="I32" s="61">
        <v>98.04</v>
      </c>
      <c r="J32" s="60">
        <v>397420.79999999999</v>
      </c>
      <c r="K32" s="68">
        <f t="shared" si="1"/>
        <v>-25.84</v>
      </c>
      <c r="L32" s="69">
        <f t="shared" si="2"/>
        <v>98.04</v>
      </c>
      <c r="M32" s="273">
        <f t="shared" si="3"/>
        <v>-2533.3536000000004</v>
      </c>
      <c r="N32" s="71">
        <f t="shared" si="4"/>
        <v>4027.8199999999997</v>
      </c>
      <c r="O32" s="72">
        <f t="shared" si="5"/>
        <v>98.04</v>
      </c>
      <c r="P32" s="274">
        <f t="shared" si="6"/>
        <v>394887.47279999999</v>
      </c>
      <c r="U32" s="121">
        <f t="shared" si="0"/>
        <v>1540.3907999999999</v>
      </c>
      <c r="V32" s="121">
        <f t="shared" si="8"/>
        <v>567.51240000000007</v>
      </c>
      <c r="W32" s="194">
        <f t="shared" si="9"/>
        <v>3460.3075999999996</v>
      </c>
      <c r="AQ32" s="194"/>
      <c r="AR32" s="121">
        <f t="shared" si="7"/>
        <v>4318.67</v>
      </c>
      <c r="AT32" s="194"/>
    </row>
    <row r="33" spans="2:46" s="121" customFormat="1" ht="16.5" customHeight="1" x14ac:dyDescent="0.2">
      <c r="B33" s="120"/>
      <c r="C33" s="56" t="s">
        <v>154</v>
      </c>
      <c r="D33" s="56" t="s">
        <v>96</v>
      </c>
      <c r="E33" s="57" t="s">
        <v>190</v>
      </c>
      <c r="F33" s="58" t="s">
        <v>191</v>
      </c>
      <c r="G33" s="59" t="s">
        <v>150</v>
      </c>
      <c r="H33" s="60">
        <v>817.06</v>
      </c>
      <c r="I33" s="61">
        <v>247.39</v>
      </c>
      <c r="J33" s="60">
        <v>202132.5</v>
      </c>
      <c r="K33" s="68">
        <f t="shared" si="1"/>
        <v>-5.21</v>
      </c>
      <c r="L33" s="69">
        <f t="shared" si="2"/>
        <v>247.39</v>
      </c>
      <c r="M33" s="273">
        <f t="shared" si="3"/>
        <v>-1288.9018999999998</v>
      </c>
      <c r="N33" s="71">
        <f t="shared" si="4"/>
        <v>811.84999999999991</v>
      </c>
      <c r="O33" s="72">
        <f t="shared" si="5"/>
        <v>247.39</v>
      </c>
      <c r="P33" s="274">
        <f t="shared" si="6"/>
        <v>200843.57149999996</v>
      </c>
      <c r="U33" s="121">
        <f t="shared" si="0"/>
        <v>310.4828</v>
      </c>
      <c r="V33" s="121">
        <f t="shared" si="8"/>
        <v>114.3884</v>
      </c>
      <c r="W33" s="194">
        <f t="shared" si="9"/>
        <v>697.46159999999986</v>
      </c>
      <c r="AQ33" s="194"/>
      <c r="AR33" s="121">
        <f t="shared" si="7"/>
        <v>870.47</v>
      </c>
      <c r="AT33" s="194"/>
    </row>
    <row r="34" spans="2:46" s="121" customFormat="1" ht="16.5" customHeight="1" x14ac:dyDescent="0.2">
      <c r="B34" s="120"/>
      <c r="C34" s="56" t="s">
        <v>1</v>
      </c>
      <c r="D34" s="56" t="s">
        <v>96</v>
      </c>
      <c r="E34" s="57" t="s">
        <v>193</v>
      </c>
      <c r="F34" s="58" t="s">
        <v>194</v>
      </c>
      <c r="G34" s="59" t="s">
        <v>150</v>
      </c>
      <c r="H34" s="60">
        <v>817.06</v>
      </c>
      <c r="I34" s="61">
        <v>44.72</v>
      </c>
      <c r="J34" s="60">
        <v>36538.9</v>
      </c>
      <c r="K34" s="68">
        <f t="shared" si="1"/>
        <v>-5.21</v>
      </c>
      <c r="L34" s="69">
        <f t="shared" si="2"/>
        <v>44.72</v>
      </c>
      <c r="M34" s="273">
        <f t="shared" si="3"/>
        <v>-232.99119999999999</v>
      </c>
      <c r="N34" s="71">
        <f t="shared" si="4"/>
        <v>811.84999999999991</v>
      </c>
      <c r="O34" s="72">
        <f t="shared" si="5"/>
        <v>44.72</v>
      </c>
      <c r="P34" s="274">
        <f t="shared" si="6"/>
        <v>36305.931999999993</v>
      </c>
      <c r="U34" s="121">
        <f t="shared" si="0"/>
        <v>310.4828</v>
      </c>
      <c r="V34" s="121">
        <f t="shared" si="8"/>
        <v>114.3884</v>
      </c>
      <c r="W34" s="194">
        <f t="shared" si="9"/>
        <v>697.46159999999986</v>
      </c>
      <c r="AQ34" s="194"/>
      <c r="AR34" s="121">
        <f t="shared" si="7"/>
        <v>870.47</v>
      </c>
      <c r="AT34" s="194"/>
    </row>
    <row r="35" spans="2:46" s="121" customFormat="1" ht="16.5" customHeight="1" x14ac:dyDescent="0.2">
      <c r="B35" s="120"/>
      <c r="C35" s="56" t="s">
        <v>159</v>
      </c>
      <c r="D35" s="56" t="s">
        <v>96</v>
      </c>
      <c r="E35" s="57" t="s">
        <v>196</v>
      </c>
      <c r="F35" s="58" t="s">
        <v>197</v>
      </c>
      <c r="G35" s="59" t="s">
        <v>150</v>
      </c>
      <c r="H35" s="60">
        <v>817.06</v>
      </c>
      <c r="I35" s="61">
        <v>11.84</v>
      </c>
      <c r="J35" s="60">
        <v>9674</v>
      </c>
      <c r="K35" s="68">
        <f t="shared" si="1"/>
        <v>-5.21</v>
      </c>
      <c r="L35" s="69">
        <f t="shared" si="2"/>
        <v>11.84</v>
      </c>
      <c r="M35" s="273">
        <f t="shared" si="3"/>
        <v>-61.686399999999999</v>
      </c>
      <c r="N35" s="71">
        <f t="shared" si="4"/>
        <v>811.84999999999991</v>
      </c>
      <c r="O35" s="72">
        <f t="shared" si="5"/>
        <v>11.84</v>
      </c>
      <c r="P35" s="274">
        <f t="shared" si="6"/>
        <v>9612.3039999999983</v>
      </c>
      <c r="U35" s="121">
        <f t="shared" si="0"/>
        <v>310.4828</v>
      </c>
      <c r="V35" s="121">
        <f t="shared" si="8"/>
        <v>114.3884</v>
      </c>
      <c r="W35" s="194">
        <f t="shared" si="9"/>
        <v>697.46159999999986</v>
      </c>
      <c r="AQ35" s="194"/>
      <c r="AR35" s="121">
        <f t="shared" si="7"/>
        <v>870.47</v>
      </c>
      <c r="AT35" s="194"/>
    </row>
    <row r="36" spans="2:46" s="121" customFormat="1" ht="16.5" customHeight="1" x14ac:dyDescent="0.2">
      <c r="B36" s="120"/>
      <c r="C36" s="56" t="s">
        <v>162</v>
      </c>
      <c r="D36" s="56" t="s">
        <v>96</v>
      </c>
      <c r="E36" s="57" t="s">
        <v>199</v>
      </c>
      <c r="F36" s="58" t="s">
        <v>200</v>
      </c>
      <c r="G36" s="59" t="s">
        <v>201</v>
      </c>
      <c r="H36" s="60">
        <v>1634.12</v>
      </c>
      <c r="I36" s="61">
        <v>116</v>
      </c>
      <c r="J36" s="60">
        <v>189557.9</v>
      </c>
      <c r="K36" s="68">
        <f t="shared" si="1"/>
        <v>-10.42</v>
      </c>
      <c r="L36" s="69">
        <f t="shared" si="2"/>
        <v>116</v>
      </c>
      <c r="M36" s="273">
        <f t="shared" si="3"/>
        <v>-1208.72</v>
      </c>
      <c r="N36" s="71">
        <f t="shared" si="4"/>
        <v>1623.6999999999998</v>
      </c>
      <c r="O36" s="72">
        <f t="shared" si="5"/>
        <v>116</v>
      </c>
      <c r="P36" s="274">
        <f t="shared" si="6"/>
        <v>188349.19999999998</v>
      </c>
      <c r="U36" s="121">
        <f t="shared" si="0"/>
        <v>620.96559999999999</v>
      </c>
      <c r="V36" s="121">
        <f t="shared" si="8"/>
        <v>228.77680000000001</v>
      </c>
      <c r="W36" s="194">
        <f t="shared" si="9"/>
        <v>1394.9231999999997</v>
      </c>
      <c r="AQ36" s="194"/>
      <c r="AR36" s="121">
        <f t="shared" si="7"/>
        <v>1740.95</v>
      </c>
      <c r="AT36" s="194"/>
    </row>
    <row r="37" spans="2:46" s="121" customFormat="1" ht="16.5" customHeight="1" x14ac:dyDescent="0.2">
      <c r="B37" s="120"/>
      <c r="C37" s="56" t="s">
        <v>165</v>
      </c>
      <c r="D37" s="56" t="s">
        <v>96</v>
      </c>
      <c r="E37" s="57" t="s">
        <v>203</v>
      </c>
      <c r="F37" s="58" t="s">
        <v>204</v>
      </c>
      <c r="G37" s="59" t="s">
        <v>150</v>
      </c>
      <c r="H37" s="60">
        <v>1614.01</v>
      </c>
      <c r="I37" s="61">
        <v>143.36000000000001</v>
      </c>
      <c r="J37" s="60">
        <v>231384.5</v>
      </c>
      <c r="K37" s="68">
        <f t="shared" si="1"/>
        <v>-10.29</v>
      </c>
      <c r="L37" s="69">
        <f t="shared" si="2"/>
        <v>143.36000000000001</v>
      </c>
      <c r="M37" s="273">
        <f t="shared" si="3"/>
        <v>-1475.1744000000001</v>
      </c>
      <c r="N37" s="71">
        <f t="shared" si="4"/>
        <v>1603.72</v>
      </c>
      <c r="O37" s="72">
        <f t="shared" si="5"/>
        <v>143.36000000000001</v>
      </c>
      <c r="P37" s="274">
        <f t="shared" si="6"/>
        <v>229909.29920000004</v>
      </c>
      <c r="U37" s="121">
        <f t="shared" si="0"/>
        <v>613.32380000000001</v>
      </c>
      <c r="V37" s="121">
        <f t="shared" si="8"/>
        <v>225.96140000000003</v>
      </c>
      <c r="W37" s="194">
        <f t="shared" si="9"/>
        <v>1377.7586000000001</v>
      </c>
      <c r="AQ37" s="194"/>
      <c r="AR37" s="121">
        <f t="shared" si="7"/>
        <v>1719.53</v>
      </c>
      <c r="AT37" s="194"/>
    </row>
    <row r="38" spans="2:46" s="121" customFormat="1" ht="16.5" customHeight="1" x14ac:dyDescent="0.2">
      <c r="B38" s="120"/>
      <c r="C38" s="56" t="s">
        <v>168</v>
      </c>
      <c r="D38" s="56" t="s">
        <v>96</v>
      </c>
      <c r="E38" s="57" t="s">
        <v>206</v>
      </c>
      <c r="F38" s="58" t="s">
        <v>207</v>
      </c>
      <c r="G38" s="59" t="s">
        <v>150</v>
      </c>
      <c r="H38" s="60">
        <v>517.96</v>
      </c>
      <c r="I38" s="61">
        <v>318.27999999999997</v>
      </c>
      <c r="J38" s="60">
        <v>164856.29999999999</v>
      </c>
      <c r="K38" s="68">
        <f t="shared" si="1"/>
        <v>-3.3</v>
      </c>
      <c r="L38" s="69">
        <f t="shared" si="2"/>
        <v>318.27999999999997</v>
      </c>
      <c r="M38" s="273">
        <f t="shared" si="3"/>
        <v>-1050.3239999999998</v>
      </c>
      <c r="N38" s="71">
        <f t="shared" si="4"/>
        <v>514.66000000000008</v>
      </c>
      <c r="O38" s="72">
        <f t="shared" si="5"/>
        <v>318.27999999999997</v>
      </c>
      <c r="P38" s="274">
        <f t="shared" si="6"/>
        <v>163805.98480000001</v>
      </c>
      <c r="U38" s="121">
        <f t="shared" si="0"/>
        <v>196.82480000000001</v>
      </c>
      <c r="V38" s="121">
        <f t="shared" si="8"/>
        <v>72.514400000000009</v>
      </c>
      <c r="W38" s="194">
        <f t="shared" si="9"/>
        <v>442.14560000000006</v>
      </c>
      <c r="AQ38" s="194"/>
      <c r="AR38" s="121">
        <f t="shared" si="7"/>
        <v>551.82000000000005</v>
      </c>
      <c r="AT38" s="194"/>
    </row>
    <row r="39" spans="2:46" s="121" customFormat="1" ht="16.5" customHeight="1" x14ac:dyDescent="0.2">
      <c r="B39" s="120"/>
      <c r="C39" s="73" t="s">
        <v>171</v>
      </c>
      <c r="D39" s="73" t="s">
        <v>209</v>
      </c>
      <c r="E39" s="74" t="s">
        <v>210</v>
      </c>
      <c r="F39" s="75" t="s">
        <v>211</v>
      </c>
      <c r="G39" s="76" t="s">
        <v>201</v>
      </c>
      <c r="H39" s="77">
        <v>1035.92</v>
      </c>
      <c r="I39" s="78">
        <v>172.71</v>
      </c>
      <c r="J39" s="77">
        <v>178913.7</v>
      </c>
      <c r="K39" s="68">
        <f t="shared" si="1"/>
        <v>-6.6</v>
      </c>
      <c r="L39" s="69">
        <f t="shared" si="2"/>
        <v>172.71</v>
      </c>
      <c r="M39" s="273">
        <f t="shared" si="3"/>
        <v>-1139.886</v>
      </c>
      <c r="N39" s="71">
        <f t="shared" si="4"/>
        <v>1029.3200000000002</v>
      </c>
      <c r="O39" s="72">
        <f t="shared" si="5"/>
        <v>172.71</v>
      </c>
      <c r="P39" s="274">
        <f t="shared" si="6"/>
        <v>177773.85720000003</v>
      </c>
      <c r="U39" s="121">
        <f t="shared" si="0"/>
        <v>393.64960000000002</v>
      </c>
      <c r="V39" s="121">
        <f t="shared" si="8"/>
        <v>145.02880000000002</v>
      </c>
      <c r="W39" s="194">
        <f t="shared" si="9"/>
        <v>884.29120000000012</v>
      </c>
      <c r="AQ39" s="194"/>
      <c r="AR39" s="121">
        <f t="shared" si="7"/>
        <v>1103.6400000000001</v>
      </c>
      <c r="AT39" s="194"/>
    </row>
    <row r="40" spans="2:46" s="170" customFormat="1" ht="22.9" customHeight="1" x14ac:dyDescent="0.2">
      <c r="B40" s="165"/>
      <c r="C40" s="252"/>
      <c r="D40" s="253" t="s">
        <v>4</v>
      </c>
      <c r="E40" s="254" t="s">
        <v>13</v>
      </c>
      <c r="F40" s="254" t="s">
        <v>222</v>
      </c>
      <c r="G40" s="252"/>
      <c r="H40" s="252"/>
      <c r="I40" s="255"/>
      <c r="J40" s="256">
        <f>+SUBTOTAL(9,J41:J42)</f>
        <v>33427.300000000003</v>
      </c>
      <c r="K40" s="261"/>
      <c r="L40" s="262"/>
      <c r="M40" s="279">
        <f>SUM(M41:M42)</f>
        <v>-213.08400000000003</v>
      </c>
      <c r="N40" s="280"/>
      <c r="O40" s="262"/>
      <c r="P40" s="279">
        <f>SUM(P41:P42)</f>
        <v>33214.271200000003</v>
      </c>
      <c r="AR40" s="121">
        <f t="shared" si="7"/>
        <v>0</v>
      </c>
      <c r="AS40" s="121"/>
      <c r="AT40" s="194"/>
    </row>
    <row r="41" spans="2:46" s="121" customFormat="1" ht="16.5" customHeight="1" x14ac:dyDescent="0.2">
      <c r="B41" s="120"/>
      <c r="C41" s="56" t="s">
        <v>174</v>
      </c>
      <c r="D41" s="56" t="s">
        <v>96</v>
      </c>
      <c r="E41" s="57" t="s">
        <v>224</v>
      </c>
      <c r="F41" s="58" t="s">
        <v>225</v>
      </c>
      <c r="G41" s="59" t="s">
        <v>133</v>
      </c>
      <c r="H41" s="60">
        <v>847.12</v>
      </c>
      <c r="I41" s="61">
        <v>32.880000000000003</v>
      </c>
      <c r="J41" s="60">
        <v>27853.3</v>
      </c>
      <c r="K41" s="68">
        <f t="shared" si="1"/>
        <v>-5.4</v>
      </c>
      <c r="L41" s="69">
        <f t="shared" si="2"/>
        <v>32.880000000000003</v>
      </c>
      <c r="M41" s="273">
        <f t="shared" si="3"/>
        <v>-177.55200000000002</v>
      </c>
      <c r="N41" s="71">
        <f t="shared" si="4"/>
        <v>841.72</v>
      </c>
      <c r="O41" s="72">
        <f t="shared" si="5"/>
        <v>32.880000000000003</v>
      </c>
      <c r="P41" s="274">
        <f t="shared" si="6"/>
        <v>27675.753600000004</v>
      </c>
      <c r="AR41" s="121">
        <f t="shared" si="7"/>
        <v>902.5</v>
      </c>
      <c r="AT41" s="194"/>
    </row>
    <row r="42" spans="2:46" s="121" customFormat="1" ht="16.5" customHeight="1" x14ac:dyDescent="0.2">
      <c r="B42" s="120"/>
      <c r="C42" s="56" t="s">
        <v>177</v>
      </c>
      <c r="D42" s="56" t="s">
        <v>96</v>
      </c>
      <c r="E42" s="57" t="s">
        <v>227</v>
      </c>
      <c r="F42" s="58" t="s">
        <v>228</v>
      </c>
      <c r="G42" s="59" t="s">
        <v>133</v>
      </c>
      <c r="H42" s="60">
        <v>847.12</v>
      </c>
      <c r="I42" s="61">
        <v>6.58</v>
      </c>
      <c r="J42" s="60">
        <v>5574</v>
      </c>
      <c r="K42" s="68">
        <f t="shared" si="1"/>
        <v>-5.4</v>
      </c>
      <c r="L42" s="69">
        <f t="shared" si="2"/>
        <v>6.58</v>
      </c>
      <c r="M42" s="273">
        <f t="shared" si="3"/>
        <v>-35.532000000000004</v>
      </c>
      <c r="N42" s="71">
        <f t="shared" si="4"/>
        <v>841.72</v>
      </c>
      <c r="O42" s="72">
        <f t="shared" si="5"/>
        <v>6.58</v>
      </c>
      <c r="P42" s="274">
        <f t="shared" si="6"/>
        <v>5538.5176000000001</v>
      </c>
      <c r="AR42" s="121">
        <f t="shared" si="7"/>
        <v>902.5</v>
      </c>
      <c r="AT42" s="194"/>
    </row>
    <row r="43" spans="2:46" s="170" customFormat="1" ht="22.9" customHeight="1" x14ac:dyDescent="0.2">
      <c r="B43" s="165"/>
      <c r="C43" s="252"/>
      <c r="D43" s="253" t="s">
        <v>4</v>
      </c>
      <c r="E43" s="254" t="s">
        <v>100</v>
      </c>
      <c r="F43" s="254" t="s">
        <v>229</v>
      </c>
      <c r="G43" s="252"/>
      <c r="H43" s="252"/>
      <c r="I43" s="255"/>
      <c r="J43" s="256">
        <f>+SUBTOTAL(9,J44:J52)</f>
        <v>436517.5</v>
      </c>
      <c r="K43" s="261"/>
      <c r="L43" s="262"/>
      <c r="M43" s="279">
        <f>SUM(M44:M52)</f>
        <v>-2750.2242000000001</v>
      </c>
      <c r="N43" s="280"/>
      <c r="O43" s="262"/>
      <c r="P43" s="279">
        <f>SUM(P44:P52)</f>
        <v>433767.24170000001</v>
      </c>
      <c r="AR43" s="121">
        <f t="shared" si="7"/>
        <v>0</v>
      </c>
      <c r="AS43" s="121"/>
      <c r="AT43" s="194"/>
    </row>
    <row r="44" spans="2:46" s="121" customFormat="1" ht="16.5" customHeight="1" x14ac:dyDescent="0.2">
      <c r="B44" s="120"/>
      <c r="C44" s="56" t="s">
        <v>180</v>
      </c>
      <c r="D44" s="56" t="s">
        <v>96</v>
      </c>
      <c r="E44" s="57" t="s">
        <v>231</v>
      </c>
      <c r="F44" s="58" t="s">
        <v>232</v>
      </c>
      <c r="G44" s="59" t="s">
        <v>99</v>
      </c>
      <c r="H44" s="60">
        <v>9</v>
      </c>
      <c r="I44" s="61">
        <v>122.32</v>
      </c>
      <c r="J44" s="60">
        <v>1100.9000000000001</v>
      </c>
      <c r="K44" s="68">
        <v>0</v>
      </c>
      <c r="L44" s="69">
        <f t="shared" si="2"/>
        <v>122.32</v>
      </c>
      <c r="M44" s="273">
        <f t="shared" si="3"/>
        <v>0</v>
      </c>
      <c r="N44" s="71">
        <f t="shared" si="4"/>
        <v>9</v>
      </c>
      <c r="O44" s="72">
        <f t="shared" si="5"/>
        <v>122.32</v>
      </c>
      <c r="P44" s="274">
        <f t="shared" si="6"/>
        <v>1100.8799999999999</v>
      </c>
      <c r="AR44" s="121">
        <f t="shared" si="7"/>
        <v>9.59</v>
      </c>
      <c r="AT44" s="194"/>
    </row>
    <row r="45" spans="2:46" s="121" customFormat="1" ht="16.5" customHeight="1" x14ac:dyDescent="0.2">
      <c r="B45" s="120"/>
      <c r="C45" s="73" t="s">
        <v>183</v>
      </c>
      <c r="D45" s="73" t="s">
        <v>209</v>
      </c>
      <c r="E45" s="74" t="s">
        <v>234</v>
      </c>
      <c r="F45" s="75" t="s">
        <v>235</v>
      </c>
      <c r="G45" s="76" t="s">
        <v>99</v>
      </c>
      <c r="H45" s="77">
        <v>3</v>
      </c>
      <c r="I45" s="78">
        <v>345.9</v>
      </c>
      <c r="J45" s="77">
        <v>1037.7</v>
      </c>
      <c r="K45" s="68">
        <v>0</v>
      </c>
      <c r="L45" s="69">
        <f t="shared" si="2"/>
        <v>345.9</v>
      </c>
      <c r="M45" s="273">
        <f t="shared" si="3"/>
        <v>0</v>
      </c>
      <c r="N45" s="71">
        <f t="shared" si="4"/>
        <v>3</v>
      </c>
      <c r="O45" s="72">
        <f t="shared" si="5"/>
        <v>345.9</v>
      </c>
      <c r="P45" s="274">
        <f t="shared" si="6"/>
        <v>1037.6999999999998</v>
      </c>
      <c r="AR45" s="121">
        <f t="shared" si="7"/>
        <v>3.2</v>
      </c>
      <c r="AT45" s="194"/>
    </row>
    <row r="46" spans="2:46" s="121" customFormat="1" ht="16.5" customHeight="1" x14ac:dyDescent="0.2">
      <c r="B46" s="120"/>
      <c r="C46" s="73" t="s">
        <v>186</v>
      </c>
      <c r="D46" s="73" t="s">
        <v>209</v>
      </c>
      <c r="E46" s="74" t="s">
        <v>237</v>
      </c>
      <c r="F46" s="75" t="s">
        <v>238</v>
      </c>
      <c r="G46" s="76" t="s">
        <v>99</v>
      </c>
      <c r="H46" s="77">
        <v>3</v>
      </c>
      <c r="I46" s="78">
        <v>313.02</v>
      </c>
      <c r="J46" s="77">
        <v>939.1</v>
      </c>
      <c r="K46" s="68">
        <v>0</v>
      </c>
      <c r="L46" s="69">
        <f t="shared" si="2"/>
        <v>313.02</v>
      </c>
      <c r="M46" s="273">
        <f t="shared" si="3"/>
        <v>0</v>
      </c>
      <c r="N46" s="71">
        <f t="shared" si="4"/>
        <v>3</v>
      </c>
      <c r="O46" s="72">
        <f t="shared" si="5"/>
        <v>313.02</v>
      </c>
      <c r="P46" s="274">
        <f t="shared" si="6"/>
        <v>939.06</v>
      </c>
      <c r="AR46" s="121">
        <f t="shared" si="7"/>
        <v>3.2</v>
      </c>
      <c r="AT46" s="194"/>
    </row>
    <row r="47" spans="2:46" s="121" customFormat="1" ht="16.5" customHeight="1" x14ac:dyDescent="0.2">
      <c r="B47" s="120"/>
      <c r="C47" s="73" t="s">
        <v>189</v>
      </c>
      <c r="D47" s="73" t="s">
        <v>209</v>
      </c>
      <c r="E47" s="74" t="s">
        <v>240</v>
      </c>
      <c r="F47" s="75" t="s">
        <v>241</v>
      </c>
      <c r="G47" s="76" t="s">
        <v>99</v>
      </c>
      <c r="H47" s="77">
        <v>1</v>
      </c>
      <c r="I47" s="78">
        <v>270.94</v>
      </c>
      <c r="J47" s="77">
        <v>270.89999999999998</v>
      </c>
      <c r="K47" s="68">
        <v>0</v>
      </c>
      <c r="L47" s="69">
        <f t="shared" si="2"/>
        <v>270.94</v>
      </c>
      <c r="M47" s="273">
        <f t="shared" si="3"/>
        <v>0</v>
      </c>
      <c r="N47" s="71">
        <f t="shared" si="4"/>
        <v>1</v>
      </c>
      <c r="O47" s="72">
        <f t="shared" si="5"/>
        <v>270.94</v>
      </c>
      <c r="P47" s="274">
        <f t="shared" si="6"/>
        <v>270.94</v>
      </c>
      <c r="AR47" s="121">
        <f t="shared" si="7"/>
        <v>1.07</v>
      </c>
      <c r="AT47" s="194"/>
    </row>
    <row r="48" spans="2:46" s="121" customFormat="1" ht="16.5" customHeight="1" x14ac:dyDescent="0.2">
      <c r="B48" s="120"/>
      <c r="C48" s="73" t="s">
        <v>192</v>
      </c>
      <c r="D48" s="73" t="s">
        <v>209</v>
      </c>
      <c r="E48" s="74" t="s">
        <v>243</v>
      </c>
      <c r="F48" s="75" t="s">
        <v>244</v>
      </c>
      <c r="G48" s="76" t="s">
        <v>99</v>
      </c>
      <c r="H48" s="77">
        <v>2</v>
      </c>
      <c r="I48" s="78">
        <v>220.96</v>
      </c>
      <c r="J48" s="77">
        <v>441.9</v>
      </c>
      <c r="K48" s="68">
        <v>0</v>
      </c>
      <c r="L48" s="69">
        <f t="shared" si="2"/>
        <v>220.96</v>
      </c>
      <c r="M48" s="273">
        <f t="shared" si="3"/>
        <v>0</v>
      </c>
      <c r="N48" s="71">
        <f t="shared" si="4"/>
        <v>2</v>
      </c>
      <c r="O48" s="72">
        <f t="shared" si="5"/>
        <v>220.96</v>
      </c>
      <c r="P48" s="274">
        <f t="shared" si="6"/>
        <v>441.92</v>
      </c>
      <c r="AR48" s="121">
        <f t="shared" si="7"/>
        <v>2.13</v>
      </c>
      <c r="AT48" s="194"/>
    </row>
    <row r="49" spans="2:46" s="121" customFormat="1" ht="16.5" customHeight="1" x14ac:dyDescent="0.2">
      <c r="B49" s="120"/>
      <c r="C49" s="56" t="s">
        <v>195</v>
      </c>
      <c r="D49" s="56" t="s">
        <v>96</v>
      </c>
      <c r="E49" s="57" t="s">
        <v>246</v>
      </c>
      <c r="F49" s="58" t="s">
        <v>247</v>
      </c>
      <c r="G49" s="59" t="s">
        <v>99</v>
      </c>
      <c r="H49" s="60">
        <v>7</v>
      </c>
      <c r="I49" s="61">
        <v>152.57</v>
      </c>
      <c r="J49" s="60">
        <v>1068</v>
      </c>
      <c r="K49" s="68">
        <v>0</v>
      </c>
      <c r="L49" s="69">
        <f t="shared" si="2"/>
        <v>152.57</v>
      </c>
      <c r="M49" s="273">
        <f t="shared" si="3"/>
        <v>0</v>
      </c>
      <c r="N49" s="71">
        <f t="shared" si="4"/>
        <v>7</v>
      </c>
      <c r="O49" s="72">
        <f t="shared" si="5"/>
        <v>152.57</v>
      </c>
      <c r="P49" s="274">
        <f t="shared" si="6"/>
        <v>1067.99</v>
      </c>
      <c r="AR49" s="121">
        <f t="shared" si="7"/>
        <v>7.46</v>
      </c>
      <c r="AT49" s="194"/>
    </row>
    <row r="50" spans="2:46" s="121" customFormat="1" ht="16.5" customHeight="1" x14ac:dyDescent="0.2">
      <c r="B50" s="120"/>
      <c r="C50" s="73" t="s">
        <v>198</v>
      </c>
      <c r="D50" s="73" t="s">
        <v>209</v>
      </c>
      <c r="E50" s="74" t="s">
        <v>249</v>
      </c>
      <c r="F50" s="75" t="s">
        <v>250</v>
      </c>
      <c r="G50" s="76" t="s">
        <v>99</v>
      </c>
      <c r="H50" s="77">
        <v>7</v>
      </c>
      <c r="I50" s="78">
        <v>395.88</v>
      </c>
      <c r="J50" s="77">
        <v>2771.2</v>
      </c>
      <c r="K50" s="68">
        <v>0</v>
      </c>
      <c r="L50" s="69">
        <f t="shared" si="2"/>
        <v>395.88</v>
      </c>
      <c r="M50" s="273">
        <f t="shared" si="3"/>
        <v>0</v>
      </c>
      <c r="N50" s="71">
        <f t="shared" si="4"/>
        <v>7</v>
      </c>
      <c r="O50" s="72">
        <f t="shared" si="5"/>
        <v>395.88</v>
      </c>
      <c r="P50" s="274">
        <f t="shared" si="6"/>
        <v>2771.16</v>
      </c>
      <c r="AR50" s="121">
        <f t="shared" si="7"/>
        <v>7.46</v>
      </c>
      <c r="AT50" s="194"/>
    </row>
    <row r="51" spans="2:46" s="121" customFormat="1" ht="16.5" customHeight="1" x14ac:dyDescent="0.2">
      <c r="B51" s="120"/>
      <c r="C51" s="56" t="s">
        <v>202</v>
      </c>
      <c r="D51" s="56" t="s">
        <v>96</v>
      </c>
      <c r="E51" s="57" t="s">
        <v>252</v>
      </c>
      <c r="F51" s="58" t="s">
        <v>253</v>
      </c>
      <c r="G51" s="59" t="s">
        <v>150</v>
      </c>
      <c r="H51" s="60">
        <v>123.48</v>
      </c>
      <c r="I51" s="61">
        <v>3239.16</v>
      </c>
      <c r="J51" s="60">
        <v>399971.5</v>
      </c>
      <c r="K51" s="68">
        <f t="shared" ref="K51:K52" si="10">ROUND(897.1/902.5*AR51-AR51,2)</f>
        <v>-0.79</v>
      </c>
      <c r="L51" s="69">
        <f t="shared" si="2"/>
        <v>3239.16</v>
      </c>
      <c r="M51" s="273">
        <f t="shared" si="3"/>
        <v>-2558.9364</v>
      </c>
      <c r="N51" s="71">
        <f t="shared" si="4"/>
        <v>122.69</v>
      </c>
      <c r="O51" s="72">
        <f t="shared" si="5"/>
        <v>3239.16</v>
      </c>
      <c r="P51" s="274">
        <f t="shared" si="6"/>
        <v>397412.5404</v>
      </c>
      <c r="Y51" s="186" t="s">
        <v>1119</v>
      </c>
      <c r="Z51" s="121" t="s">
        <v>1134</v>
      </c>
      <c r="AR51" s="121">
        <f t="shared" si="7"/>
        <v>131.55000000000001</v>
      </c>
      <c r="AT51" s="194"/>
    </row>
    <row r="52" spans="2:46" s="121" customFormat="1" ht="30.75" customHeight="1" x14ac:dyDescent="0.2">
      <c r="B52" s="120"/>
      <c r="C52" s="56" t="s">
        <v>205</v>
      </c>
      <c r="D52" s="56" t="s">
        <v>96</v>
      </c>
      <c r="E52" s="57" t="s">
        <v>255</v>
      </c>
      <c r="F52" s="58" t="s">
        <v>256</v>
      </c>
      <c r="G52" s="59" t="s">
        <v>150</v>
      </c>
      <c r="H52" s="60">
        <v>9.07</v>
      </c>
      <c r="I52" s="61">
        <v>3188.13</v>
      </c>
      <c r="J52" s="60">
        <v>28916.3</v>
      </c>
      <c r="K52" s="68">
        <f t="shared" si="10"/>
        <v>-0.06</v>
      </c>
      <c r="L52" s="69">
        <f t="shared" si="2"/>
        <v>3188.13</v>
      </c>
      <c r="M52" s="273">
        <f t="shared" si="3"/>
        <v>-191.2878</v>
      </c>
      <c r="N52" s="71">
        <f t="shared" si="4"/>
        <v>9.01</v>
      </c>
      <c r="O52" s="72">
        <f t="shared" si="5"/>
        <v>3188.13</v>
      </c>
      <c r="P52" s="274">
        <f t="shared" si="6"/>
        <v>28725.051299999999</v>
      </c>
      <c r="Q52" s="186" t="s">
        <v>1054</v>
      </c>
      <c r="R52" s="121" t="s">
        <v>1043</v>
      </c>
      <c r="V52" s="190" t="s">
        <v>1066</v>
      </c>
      <c r="W52" s="121" t="s">
        <v>1086</v>
      </c>
      <c r="X52" s="186" t="s">
        <v>1097</v>
      </c>
      <c r="Y52" s="186" t="s">
        <v>1120</v>
      </c>
      <c r="Z52" s="121" t="s">
        <v>1133</v>
      </c>
      <c r="AB52" s="186" t="s">
        <v>1138</v>
      </c>
      <c r="AP52" s="186" t="s">
        <v>1167</v>
      </c>
      <c r="AQ52" s="121" t="s">
        <v>925</v>
      </c>
      <c r="AR52" s="121">
        <f t="shared" si="7"/>
        <v>9.66</v>
      </c>
      <c r="AT52" s="194"/>
    </row>
    <row r="53" spans="2:46" s="170" customFormat="1" ht="22.9" customHeight="1" x14ac:dyDescent="0.2">
      <c r="B53" s="165"/>
      <c r="C53" s="252"/>
      <c r="D53" s="253" t="s">
        <v>4</v>
      </c>
      <c r="E53" s="254" t="s">
        <v>105</v>
      </c>
      <c r="F53" s="254" t="s">
        <v>257</v>
      </c>
      <c r="G53" s="252"/>
      <c r="H53" s="252"/>
      <c r="I53" s="255"/>
      <c r="J53" s="256">
        <f>+SUBTOTAL(9,J54:J61)</f>
        <v>1645124.9</v>
      </c>
      <c r="K53" s="261"/>
      <c r="L53" s="262"/>
      <c r="M53" s="279">
        <f>SUM(M54:M61)</f>
        <v>0</v>
      </c>
      <c r="N53" s="280"/>
      <c r="O53" s="262"/>
      <c r="P53" s="279">
        <f>SUM(P54:P61)</f>
        <v>1645125.1128</v>
      </c>
      <c r="AR53" s="121">
        <f t="shared" si="7"/>
        <v>0</v>
      </c>
      <c r="AS53" s="121"/>
      <c r="AT53" s="194"/>
    </row>
    <row r="54" spans="2:46" s="121" customFormat="1" ht="16.5" customHeight="1" x14ac:dyDescent="0.2">
      <c r="B54" s="120"/>
      <c r="C54" s="56" t="s">
        <v>208</v>
      </c>
      <c r="D54" s="56" t="s">
        <v>96</v>
      </c>
      <c r="E54" s="57" t="s">
        <v>259</v>
      </c>
      <c r="F54" s="58" t="s">
        <v>260</v>
      </c>
      <c r="G54" s="59" t="s">
        <v>108</v>
      </c>
      <c r="H54" s="60">
        <v>633.71</v>
      </c>
      <c r="I54" s="61">
        <v>155.66999999999999</v>
      </c>
      <c r="J54" s="60">
        <v>98649.600000000006</v>
      </c>
      <c r="K54" s="68">
        <v>0</v>
      </c>
      <c r="L54" s="69">
        <f t="shared" si="2"/>
        <v>155.66999999999999</v>
      </c>
      <c r="M54" s="273">
        <f t="shared" si="3"/>
        <v>0</v>
      </c>
      <c r="N54" s="71">
        <f t="shared" si="4"/>
        <v>633.71</v>
      </c>
      <c r="O54" s="72">
        <f t="shared" si="5"/>
        <v>155.66999999999999</v>
      </c>
      <c r="P54" s="274">
        <f t="shared" si="6"/>
        <v>98649.635699999999</v>
      </c>
      <c r="Y54" s="186" t="s">
        <v>1121</v>
      </c>
      <c r="Z54" s="121" t="s">
        <v>1124</v>
      </c>
      <c r="AR54" s="121">
        <f t="shared" si="7"/>
        <v>675.14</v>
      </c>
      <c r="AS54" s="186" t="s">
        <v>1197</v>
      </c>
      <c r="AT54" s="194"/>
    </row>
    <row r="55" spans="2:46" s="121" customFormat="1" ht="16.5" customHeight="1" x14ac:dyDescent="0.2">
      <c r="B55" s="120"/>
      <c r="C55" s="56" t="s">
        <v>212</v>
      </c>
      <c r="D55" s="56" t="s">
        <v>96</v>
      </c>
      <c r="E55" s="57" t="s">
        <v>262</v>
      </c>
      <c r="F55" s="58" t="s">
        <v>263</v>
      </c>
      <c r="G55" s="59" t="s">
        <v>108</v>
      </c>
      <c r="H55" s="60">
        <v>357.06</v>
      </c>
      <c r="I55" s="61">
        <v>302.54000000000002</v>
      </c>
      <c r="J55" s="60">
        <v>108024.9</v>
      </c>
      <c r="K55" s="68">
        <v>0</v>
      </c>
      <c r="L55" s="69">
        <f t="shared" si="2"/>
        <v>302.54000000000002</v>
      </c>
      <c r="M55" s="273">
        <f t="shared" si="3"/>
        <v>0</v>
      </c>
      <c r="N55" s="71">
        <f t="shared" si="4"/>
        <v>357.06</v>
      </c>
      <c r="O55" s="72">
        <f t="shared" si="5"/>
        <v>302.54000000000002</v>
      </c>
      <c r="P55" s="274">
        <f t="shared" si="6"/>
        <v>108024.93240000001</v>
      </c>
      <c r="AR55" s="121">
        <f t="shared" si="7"/>
        <v>380.4</v>
      </c>
      <c r="AT55" s="194"/>
    </row>
    <row r="56" spans="2:46" s="121" customFormat="1" ht="16.5" customHeight="1" x14ac:dyDescent="0.2">
      <c r="B56" s="120"/>
      <c r="C56" s="56" t="s">
        <v>215</v>
      </c>
      <c r="D56" s="56" t="s">
        <v>96</v>
      </c>
      <c r="E56" s="57" t="s">
        <v>268</v>
      </c>
      <c r="F56" s="58" t="s">
        <v>269</v>
      </c>
      <c r="G56" s="59" t="s">
        <v>108</v>
      </c>
      <c r="H56" s="60">
        <v>357.06</v>
      </c>
      <c r="I56" s="61">
        <v>14.18</v>
      </c>
      <c r="J56" s="60">
        <v>5063.1000000000004</v>
      </c>
      <c r="K56" s="68">
        <v>0</v>
      </c>
      <c r="L56" s="69">
        <f t="shared" si="2"/>
        <v>14.18</v>
      </c>
      <c r="M56" s="273">
        <f t="shared" si="3"/>
        <v>0</v>
      </c>
      <c r="N56" s="71">
        <f t="shared" si="4"/>
        <v>357.06</v>
      </c>
      <c r="O56" s="72">
        <f t="shared" si="5"/>
        <v>14.18</v>
      </c>
      <c r="P56" s="274">
        <f t="shared" si="6"/>
        <v>5063.1108000000004</v>
      </c>
      <c r="AR56" s="121">
        <f t="shared" si="7"/>
        <v>380.4</v>
      </c>
      <c r="AT56" s="194"/>
    </row>
    <row r="57" spans="2:46" s="121" customFormat="1" ht="16.5" customHeight="1" x14ac:dyDescent="0.2">
      <c r="B57" s="120"/>
      <c r="C57" s="56" t="s">
        <v>219</v>
      </c>
      <c r="D57" s="56" t="s">
        <v>96</v>
      </c>
      <c r="E57" s="57" t="s">
        <v>271</v>
      </c>
      <c r="F57" s="58" t="s">
        <v>272</v>
      </c>
      <c r="G57" s="59" t="s">
        <v>108</v>
      </c>
      <c r="H57" s="60">
        <v>681.66</v>
      </c>
      <c r="I57" s="61">
        <v>20.62</v>
      </c>
      <c r="J57" s="60">
        <v>14055.8</v>
      </c>
      <c r="K57" s="68">
        <v>0</v>
      </c>
      <c r="L57" s="69">
        <f t="shared" si="2"/>
        <v>20.62</v>
      </c>
      <c r="M57" s="273">
        <f t="shared" si="3"/>
        <v>0</v>
      </c>
      <c r="N57" s="71">
        <f t="shared" si="4"/>
        <v>681.66</v>
      </c>
      <c r="O57" s="72">
        <f t="shared" si="5"/>
        <v>20.62</v>
      </c>
      <c r="P57" s="274">
        <f t="shared" si="6"/>
        <v>14055.8292</v>
      </c>
      <c r="AR57" s="121">
        <f t="shared" si="7"/>
        <v>726.22</v>
      </c>
      <c r="AT57" s="194"/>
    </row>
    <row r="58" spans="2:46" s="121" customFormat="1" ht="16.5" customHeight="1" x14ac:dyDescent="0.2">
      <c r="B58" s="120"/>
      <c r="C58" s="56" t="s">
        <v>223</v>
      </c>
      <c r="D58" s="56" t="s">
        <v>96</v>
      </c>
      <c r="E58" s="57" t="s">
        <v>274</v>
      </c>
      <c r="F58" s="58" t="s">
        <v>275</v>
      </c>
      <c r="G58" s="59" t="s">
        <v>108</v>
      </c>
      <c r="H58" s="60">
        <v>681.66</v>
      </c>
      <c r="I58" s="61">
        <v>396.71</v>
      </c>
      <c r="J58" s="60">
        <v>270421.3</v>
      </c>
      <c r="K58" s="68">
        <v>0</v>
      </c>
      <c r="L58" s="69">
        <f t="shared" si="2"/>
        <v>396.71</v>
      </c>
      <c r="M58" s="273">
        <f t="shared" si="3"/>
        <v>0</v>
      </c>
      <c r="N58" s="71">
        <f t="shared" si="4"/>
        <v>681.66</v>
      </c>
      <c r="O58" s="72">
        <f t="shared" si="5"/>
        <v>396.71</v>
      </c>
      <c r="P58" s="274">
        <f t="shared" si="6"/>
        <v>270421.33859999996</v>
      </c>
      <c r="AR58" s="121">
        <f t="shared" si="7"/>
        <v>726.22</v>
      </c>
      <c r="AT58" s="194"/>
    </row>
    <row r="59" spans="2:46" s="121" customFormat="1" ht="16.5" customHeight="1" x14ac:dyDescent="0.2">
      <c r="B59" s="120"/>
      <c r="C59" s="56" t="s">
        <v>226</v>
      </c>
      <c r="D59" s="56" t="s">
        <v>96</v>
      </c>
      <c r="E59" s="57" t="s">
        <v>277</v>
      </c>
      <c r="F59" s="58" t="s">
        <v>278</v>
      </c>
      <c r="G59" s="59" t="s">
        <v>108</v>
      </c>
      <c r="H59" s="60">
        <v>357.06</v>
      </c>
      <c r="I59" s="61">
        <v>559.51</v>
      </c>
      <c r="J59" s="60">
        <v>199778.6</v>
      </c>
      <c r="K59" s="68">
        <v>0</v>
      </c>
      <c r="L59" s="69">
        <f t="shared" si="2"/>
        <v>559.51</v>
      </c>
      <c r="M59" s="273">
        <f t="shared" si="3"/>
        <v>0</v>
      </c>
      <c r="N59" s="71">
        <f t="shared" si="4"/>
        <v>357.06</v>
      </c>
      <c r="O59" s="72">
        <f t="shared" si="5"/>
        <v>559.51</v>
      </c>
      <c r="P59" s="274">
        <f t="shared" si="6"/>
        <v>199778.64059999998</v>
      </c>
      <c r="AR59" s="121">
        <f t="shared" si="7"/>
        <v>380.4</v>
      </c>
      <c r="AT59" s="194"/>
    </row>
    <row r="60" spans="2:46" s="121" customFormat="1" ht="16.5" customHeight="1" x14ac:dyDescent="0.2">
      <c r="B60" s="120"/>
      <c r="C60" s="56" t="s">
        <v>230</v>
      </c>
      <c r="D60" s="56" t="s">
        <v>96</v>
      </c>
      <c r="E60" s="57" t="s">
        <v>283</v>
      </c>
      <c r="F60" s="58" t="s">
        <v>284</v>
      </c>
      <c r="G60" s="59" t="s">
        <v>108</v>
      </c>
      <c r="H60" s="60">
        <v>633.71</v>
      </c>
      <c r="I60" s="61">
        <v>745.05</v>
      </c>
      <c r="J60" s="60">
        <v>472145.6</v>
      </c>
      <c r="K60" s="68">
        <v>0</v>
      </c>
      <c r="L60" s="69">
        <f t="shared" si="2"/>
        <v>745.05</v>
      </c>
      <c r="M60" s="273">
        <f t="shared" si="3"/>
        <v>0</v>
      </c>
      <c r="N60" s="71">
        <f t="shared" si="4"/>
        <v>633.71</v>
      </c>
      <c r="O60" s="72">
        <f t="shared" si="5"/>
        <v>745.05</v>
      </c>
      <c r="P60" s="274">
        <f t="shared" si="6"/>
        <v>472145.63549999997</v>
      </c>
      <c r="AR60" s="121">
        <f t="shared" si="7"/>
        <v>675.14</v>
      </c>
      <c r="AS60" s="186" t="s">
        <v>1197</v>
      </c>
      <c r="AT60" s="194"/>
    </row>
    <row r="61" spans="2:46" s="121" customFormat="1" ht="16.5" customHeight="1" x14ac:dyDescent="0.2">
      <c r="B61" s="120"/>
      <c r="C61" s="73" t="s">
        <v>233</v>
      </c>
      <c r="D61" s="73" t="s">
        <v>209</v>
      </c>
      <c r="E61" s="74" t="s">
        <v>286</v>
      </c>
      <c r="F61" s="75" t="s">
        <v>287</v>
      </c>
      <c r="G61" s="76" t="s">
        <v>201</v>
      </c>
      <c r="H61" s="77">
        <v>126.74</v>
      </c>
      <c r="I61" s="78">
        <v>3763.5</v>
      </c>
      <c r="J61" s="77">
        <v>476986</v>
      </c>
      <c r="K61" s="68">
        <v>0</v>
      </c>
      <c r="L61" s="69">
        <f t="shared" si="2"/>
        <v>3763.5</v>
      </c>
      <c r="M61" s="273">
        <f t="shared" si="3"/>
        <v>0</v>
      </c>
      <c r="N61" s="71">
        <f t="shared" si="4"/>
        <v>126.74</v>
      </c>
      <c r="O61" s="72">
        <f t="shared" si="5"/>
        <v>3763.5</v>
      </c>
      <c r="P61" s="274">
        <f t="shared" si="6"/>
        <v>476985.99</v>
      </c>
      <c r="AR61" s="121">
        <f t="shared" si="7"/>
        <v>135.03</v>
      </c>
      <c r="AS61" s="186" t="s">
        <v>1198</v>
      </c>
      <c r="AT61" s="194"/>
    </row>
    <row r="62" spans="2:46" s="170" customFormat="1" ht="22.9" customHeight="1" x14ac:dyDescent="0.2">
      <c r="B62" s="165"/>
      <c r="C62" s="252"/>
      <c r="D62" s="253" t="s">
        <v>4</v>
      </c>
      <c r="E62" s="254" t="s">
        <v>115</v>
      </c>
      <c r="F62" s="254" t="s">
        <v>288</v>
      </c>
      <c r="G62" s="252"/>
      <c r="H62" s="252"/>
      <c r="I62" s="255"/>
      <c r="J62" s="256">
        <f>+SUBTOTAL(9,J63:J86)</f>
        <v>2944886.7</v>
      </c>
      <c r="K62" s="261"/>
      <c r="L62" s="262"/>
      <c r="M62" s="279">
        <f>SUM(M63:M86)</f>
        <v>-9059.58</v>
      </c>
      <c r="N62" s="280"/>
      <c r="O62" s="262"/>
      <c r="P62" s="279">
        <f>SUM(P63:P86)</f>
        <v>2935827.1919999998</v>
      </c>
      <c r="AR62" s="121">
        <f t="shared" si="7"/>
        <v>0</v>
      </c>
      <c r="AS62" s="121"/>
      <c r="AT62" s="194"/>
    </row>
    <row r="63" spans="2:46" s="121" customFormat="1" ht="16.5" customHeight="1" x14ac:dyDescent="0.2">
      <c r="B63" s="120"/>
      <c r="C63" s="56" t="s">
        <v>236</v>
      </c>
      <c r="D63" s="56" t="s">
        <v>96</v>
      </c>
      <c r="E63" s="57" t="s">
        <v>296</v>
      </c>
      <c r="F63" s="58" t="s">
        <v>297</v>
      </c>
      <c r="G63" s="59" t="s">
        <v>133</v>
      </c>
      <c r="H63" s="60">
        <v>847.12</v>
      </c>
      <c r="I63" s="61">
        <v>552.39</v>
      </c>
      <c r="J63" s="60">
        <v>467940.6</v>
      </c>
      <c r="K63" s="68">
        <f t="shared" ref="K63:K64" si="11">ROUND(897.1/902.5*AR63-AR63,2)</f>
        <v>-5.4</v>
      </c>
      <c r="L63" s="69">
        <f t="shared" si="2"/>
        <v>552.39</v>
      </c>
      <c r="M63" s="273">
        <f t="shared" si="3"/>
        <v>-2982.9059999999999</v>
      </c>
      <c r="N63" s="71">
        <f t="shared" si="4"/>
        <v>841.72</v>
      </c>
      <c r="O63" s="72">
        <f t="shared" si="5"/>
        <v>552.39</v>
      </c>
      <c r="P63" s="274">
        <f t="shared" si="6"/>
        <v>464957.7108</v>
      </c>
      <c r="AR63" s="121">
        <f t="shared" si="7"/>
        <v>902.5</v>
      </c>
      <c r="AT63" s="194"/>
    </row>
    <row r="64" spans="2:46" s="121" customFormat="1" ht="16.5" customHeight="1" x14ac:dyDescent="0.2">
      <c r="B64" s="120"/>
      <c r="C64" s="73" t="s">
        <v>239</v>
      </c>
      <c r="D64" s="73" t="s">
        <v>209</v>
      </c>
      <c r="E64" s="74" t="s">
        <v>299</v>
      </c>
      <c r="F64" s="75" t="s">
        <v>300</v>
      </c>
      <c r="G64" s="76" t="s">
        <v>133</v>
      </c>
      <c r="H64" s="77">
        <v>847.12</v>
      </c>
      <c r="I64" s="78">
        <v>1060.07</v>
      </c>
      <c r="J64" s="77">
        <v>898006.5</v>
      </c>
      <c r="K64" s="68">
        <f t="shared" si="11"/>
        <v>-5.4</v>
      </c>
      <c r="L64" s="69">
        <f t="shared" si="2"/>
        <v>1060.07</v>
      </c>
      <c r="M64" s="273">
        <f t="shared" si="3"/>
        <v>-5724.3779999999997</v>
      </c>
      <c r="N64" s="71">
        <f t="shared" si="4"/>
        <v>841.72</v>
      </c>
      <c r="O64" s="72">
        <f t="shared" si="5"/>
        <v>1060.07</v>
      </c>
      <c r="P64" s="274">
        <f t="shared" si="6"/>
        <v>892282.12040000001</v>
      </c>
      <c r="AR64" s="121">
        <f t="shared" si="7"/>
        <v>902.5</v>
      </c>
      <c r="AT64" s="194"/>
    </row>
    <row r="65" spans="2:46" s="121" customFormat="1" ht="16.5" customHeight="1" x14ac:dyDescent="0.2">
      <c r="B65" s="120"/>
      <c r="C65" s="73" t="s">
        <v>242</v>
      </c>
      <c r="D65" s="73" t="s">
        <v>209</v>
      </c>
      <c r="E65" s="74" t="s">
        <v>302</v>
      </c>
      <c r="F65" s="75" t="s">
        <v>303</v>
      </c>
      <c r="G65" s="76" t="s">
        <v>99</v>
      </c>
      <c r="H65" s="77">
        <v>57</v>
      </c>
      <c r="I65" s="78">
        <v>739.15</v>
      </c>
      <c r="J65" s="77">
        <v>42131.6</v>
      </c>
      <c r="K65" s="68">
        <v>0</v>
      </c>
      <c r="L65" s="69">
        <f t="shared" si="2"/>
        <v>739.15</v>
      </c>
      <c r="M65" s="273">
        <f t="shared" si="3"/>
        <v>0</v>
      </c>
      <c r="N65" s="71">
        <f t="shared" si="4"/>
        <v>57</v>
      </c>
      <c r="O65" s="72">
        <f t="shared" si="5"/>
        <v>739.15</v>
      </c>
      <c r="P65" s="274">
        <f t="shared" si="6"/>
        <v>42131.549999999996</v>
      </c>
      <c r="AR65" s="121">
        <f t="shared" si="7"/>
        <v>60.73</v>
      </c>
      <c r="AT65" s="194"/>
    </row>
    <row r="66" spans="2:46" s="121" customFormat="1" ht="16.5" customHeight="1" x14ac:dyDescent="0.2">
      <c r="B66" s="120"/>
      <c r="C66" s="56" t="s">
        <v>245</v>
      </c>
      <c r="D66" s="56" t="s">
        <v>96</v>
      </c>
      <c r="E66" s="57" t="s">
        <v>320</v>
      </c>
      <c r="F66" s="58" t="s">
        <v>321</v>
      </c>
      <c r="G66" s="59" t="s">
        <v>99</v>
      </c>
      <c r="H66" s="60">
        <v>15</v>
      </c>
      <c r="I66" s="61">
        <v>260.41000000000003</v>
      </c>
      <c r="J66" s="60">
        <v>3906.2</v>
      </c>
      <c r="K66" s="68">
        <v>0</v>
      </c>
      <c r="L66" s="69">
        <f t="shared" si="2"/>
        <v>260.41000000000003</v>
      </c>
      <c r="M66" s="273">
        <f t="shared" si="3"/>
        <v>0</v>
      </c>
      <c r="N66" s="71">
        <f t="shared" si="4"/>
        <v>15</v>
      </c>
      <c r="O66" s="72">
        <f t="shared" si="5"/>
        <v>260.41000000000003</v>
      </c>
      <c r="P66" s="274">
        <f t="shared" si="6"/>
        <v>3906.1500000000005</v>
      </c>
      <c r="AR66" s="121">
        <f t="shared" si="7"/>
        <v>15.98</v>
      </c>
      <c r="AT66" s="194"/>
    </row>
    <row r="67" spans="2:46" s="121" customFormat="1" ht="16.5" customHeight="1" x14ac:dyDescent="0.2">
      <c r="B67" s="120"/>
      <c r="C67" s="73" t="s">
        <v>248</v>
      </c>
      <c r="D67" s="73" t="s">
        <v>209</v>
      </c>
      <c r="E67" s="74" t="s">
        <v>326</v>
      </c>
      <c r="F67" s="75" t="s">
        <v>327</v>
      </c>
      <c r="G67" s="76" t="s">
        <v>99</v>
      </c>
      <c r="H67" s="77">
        <v>15.23</v>
      </c>
      <c r="I67" s="78">
        <v>1801.85</v>
      </c>
      <c r="J67" s="77">
        <v>27442.2</v>
      </c>
      <c r="K67" s="68">
        <v>0</v>
      </c>
      <c r="L67" s="69">
        <f t="shared" si="2"/>
        <v>1801.85</v>
      </c>
      <c r="M67" s="273">
        <f t="shared" si="3"/>
        <v>0</v>
      </c>
      <c r="N67" s="71">
        <f t="shared" si="4"/>
        <v>15.23</v>
      </c>
      <c r="O67" s="72">
        <f t="shared" si="5"/>
        <v>1801.85</v>
      </c>
      <c r="P67" s="274">
        <f t="shared" si="6"/>
        <v>27442.175500000001</v>
      </c>
      <c r="AR67" s="121">
        <f t="shared" si="7"/>
        <v>16.23</v>
      </c>
      <c r="AT67" s="194"/>
    </row>
    <row r="68" spans="2:46" s="121" customFormat="1" ht="16.5" customHeight="1" x14ac:dyDescent="0.2">
      <c r="B68" s="120"/>
      <c r="C68" s="56" t="s">
        <v>251</v>
      </c>
      <c r="D68" s="56" t="s">
        <v>96</v>
      </c>
      <c r="E68" s="57" t="s">
        <v>329</v>
      </c>
      <c r="F68" s="58" t="s">
        <v>330</v>
      </c>
      <c r="G68" s="59" t="s">
        <v>99</v>
      </c>
      <c r="H68" s="60">
        <v>83</v>
      </c>
      <c r="I68" s="61">
        <v>219.64</v>
      </c>
      <c r="J68" s="60">
        <v>18230.099999999999</v>
      </c>
      <c r="K68" s="68">
        <v>0</v>
      </c>
      <c r="L68" s="69">
        <f t="shared" si="2"/>
        <v>219.64</v>
      </c>
      <c r="M68" s="273">
        <f t="shared" si="3"/>
        <v>0</v>
      </c>
      <c r="N68" s="71">
        <f t="shared" si="4"/>
        <v>83</v>
      </c>
      <c r="O68" s="72">
        <f t="shared" si="5"/>
        <v>219.64</v>
      </c>
      <c r="P68" s="274">
        <f t="shared" si="6"/>
        <v>18230.12</v>
      </c>
      <c r="AR68" s="121">
        <f t="shared" si="7"/>
        <v>88.43</v>
      </c>
      <c r="AT68" s="194"/>
    </row>
    <row r="69" spans="2:46" s="121" customFormat="1" ht="16.5" customHeight="1" x14ac:dyDescent="0.2">
      <c r="B69" s="120"/>
      <c r="C69" s="73" t="s">
        <v>254</v>
      </c>
      <c r="D69" s="73" t="s">
        <v>209</v>
      </c>
      <c r="E69" s="74" t="s">
        <v>332</v>
      </c>
      <c r="F69" s="75" t="s">
        <v>333</v>
      </c>
      <c r="G69" s="76" t="s">
        <v>99</v>
      </c>
      <c r="H69" s="77">
        <v>41.62</v>
      </c>
      <c r="I69" s="78">
        <v>1129.77</v>
      </c>
      <c r="J69" s="77">
        <v>47021</v>
      </c>
      <c r="K69" s="68">
        <v>0</v>
      </c>
      <c r="L69" s="69">
        <f t="shared" si="2"/>
        <v>1129.77</v>
      </c>
      <c r="M69" s="273">
        <f t="shared" si="3"/>
        <v>0</v>
      </c>
      <c r="N69" s="71">
        <f t="shared" si="4"/>
        <v>41.62</v>
      </c>
      <c r="O69" s="72">
        <f t="shared" si="5"/>
        <v>1129.77</v>
      </c>
      <c r="P69" s="274">
        <f t="shared" si="6"/>
        <v>47021.027399999999</v>
      </c>
      <c r="AR69" s="121">
        <f t="shared" si="7"/>
        <v>44.34</v>
      </c>
      <c r="AT69" s="194"/>
    </row>
    <row r="70" spans="2:46" s="121" customFormat="1" ht="16.5" customHeight="1" x14ac:dyDescent="0.2">
      <c r="B70" s="120"/>
      <c r="C70" s="73" t="s">
        <v>258</v>
      </c>
      <c r="D70" s="73" t="s">
        <v>209</v>
      </c>
      <c r="E70" s="74" t="s">
        <v>335</v>
      </c>
      <c r="F70" s="75" t="s">
        <v>336</v>
      </c>
      <c r="G70" s="76" t="s">
        <v>99</v>
      </c>
      <c r="H70" s="77">
        <v>42.63</v>
      </c>
      <c r="I70" s="78">
        <v>1129.77</v>
      </c>
      <c r="J70" s="77">
        <v>48162.1</v>
      </c>
      <c r="K70" s="68">
        <v>0</v>
      </c>
      <c r="L70" s="69">
        <f t="shared" si="2"/>
        <v>1129.77</v>
      </c>
      <c r="M70" s="273">
        <f t="shared" si="3"/>
        <v>0</v>
      </c>
      <c r="N70" s="71">
        <f t="shared" si="4"/>
        <v>42.63</v>
      </c>
      <c r="O70" s="72">
        <f t="shared" si="5"/>
        <v>1129.77</v>
      </c>
      <c r="P70" s="274">
        <f t="shared" si="6"/>
        <v>48162.095099999999</v>
      </c>
      <c r="AR70" s="121">
        <f t="shared" si="7"/>
        <v>45.42</v>
      </c>
      <c r="AT70" s="194"/>
    </row>
    <row r="71" spans="2:46" s="121" customFormat="1" ht="33.75" customHeight="1" x14ac:dyDescent="0.2">
      <c r="B71" s="120"/>
      <c r="C71" s="56" t="s">
        <v>261</v>
      </c>
      <c r="D71" s="56" t="s">
        <v>96</v>
      </c>
      <c r="E71" s="57" t="s">
        <v>347</v>
      </c>
      <c r="F71" s="58" t="s">
        <v>348</v>
      </c>
      <c r="G71" s="59" t="s">
        <v>133</v>
      </c>
      <c r="H71" s="60">
        <v>847.12</v>
      </c>
      <c r="I71" s="61">
        <v>56.03</v>
      </c>
      <c r="J71" s="60">
        <v>47464.1</v>
      </c>
      <c r="K71" s="68">
        <f t="shared" ref="K71" si="12">ROUND(897.1/902.5*AR71-AR71,2)</f>
        <v>-5.4</v>
      </c>
      <c r="L71" s="69">
        <f t="shared" si="2"/>
        <v>56.03</v>
      </c>
      <c r="M71" s="273">
        <f t="shared" si="3"/>
        <v>-302.56200000000001</v>
      </c>
      <c r="N71" s="71">
        <f t="shared" si="4"/>
        <v>841.72</v>
      </c>
      <c r="O71" s="72">
        <f t="shared" si="5"/>
        <v>56.03</v>
      </c>
      <c r="P71" s="274">
        <f t="shared" si="6"/>
        <v>47161.571600000003</v>
      </c>
      <c r="AR71" s="121">
        <f t="shared" si="7"/>
        <v>902.5</v>
      </c>
      <c r="AS71" s="121" t="s">
        <v>1081</v>
      </c>
      <c r="AT71" s="194"/>
    </row>
    <row r="72" spans="2:46" s="121" customFormat="1" ht="16.5" customHeight="1" x14ac:dyDescent="0.2">
      <c r="B72" s="120"/>
      <c r="C72" s="56" t="s">
        <v>264</v>
      </c>
      <c r="D72" s="56" t="s">
        <v>96</v>
      </c>
      <c r="E72" s="57" t="s">
        <v>350</v>
      </c>
      <c r="F72" s="58" t="s">
        <v>351</v>
      </c>
      <c r="G72" s="59" t="s">
        <v>99</v>
      </c>
      <c r="H72" s="60">
        <v>69</v>
      </c>
      <c r="I72" s="61">
        <v>808.86</v>
      </c>
      <c r="J72" s="60">
        <v>55811.3</v>
      </c>
      <c r="K72" s="68">
        <v>0</v>
      </c>
      <c r="L72" s="69">
        <f t="shared" si="2"/>
        <v>808.86</v>
      </c>
      <c r="M72" s="273">
        <f t="shared" si="3"/>
        <v>0</v>
      </c>
      <c r="N72" s="71">
        <f t="shared" si="4"/>
        <v>69</v>
      </c>
      <c r="O72" s="72">
        <f t="shared" si="5"/>
        <v>808.86</v>
      </c>
      <c r="P72" s="274">
        <f t="shared" si="6"/>
        <v>55811.340000000004</v>
      </c>
      <c r="AR72" s="121">
        <f t="shared" si="7"/>
        <v>73.510000000000005</v>
      </c>
      <c r="AT72" s="194"/>
    </row>
    <row r="73" spans="2:46" s="121" customFormat="1" ht="16.5" customHeight="1" x14ac:dyDescent="0.2">
      <c r="B73" s="120"/>
      <c r="C73" s="73" t="s">
        <v>267</v>
      </c>
      <c r="D73" s="73" t="s">
        <v>209</v>
      </c>
      <c r="E73" s="74" t="s">
        <v>356</v>
      </c>
      <c r="F73" s="75" t="s">
        <v>357</v>
      </c>
      <c r="G73" s="76" t="s">
        <v>99</v>
      </c>
      <c r="H73" s="77">
        <v>36</v>
      </c>
      <c r="I73" s="78">
        <v>1202.1099999999999</v>
      </c>
      <c r="J73" s="77">
        <v>43276</v>
      </c>
      <c r="K73" s="68">
        <v>0</v>
      </c>
      <c r="L73" s="69">
        <f t="shared" si="2"/>
        <v>1202.1099999999999</v>
      </c>
      <c r="M73" s="273">
        <f t="shared" si="3"/>
        <v>0</v>
      </c>
      <c r="N73" s="71">
        <f t="shared" si="4"/>
        <v>36</v>
      </c>
      <c r="O73" s="72">
        <f t="shared" si="5"/>
        <v>1202.1099999999999</v>
      </c>
      <c r="P73" s="274">
        <f t="shared" si="6"/>
        <v>43275.96</v>
      </c>
      <c r="AR73" s="121">
        <f t="shared" si="7"/>
        <v>38.35</v>
      </c>
      <c r="AT73" s="194"/>
    </row>
    <row r="74" spans="2:46" s="121" customFormat="1" ht="16.5" customHeight="1" x14ac:dyDescent="0.2">
      <c r="B74" s="120"/>
      <c r="C74" s="73" t="s">
        <v>270</v>
      </c>
      <c r="D74" s="73" t="s">
        <v>209</v>
      </c>
      <c r="E74" s="74" t="s">
        <v>359</v>
      </c>
      <c r="F74" s="75" t="s">
        <v>360</v>
      </c>
      <c r="G74" s="76" t="s">
        <v>99</v>
      </c>
      <c r="H74" s="77">
        <v>33</v>
      </c>
      <c r="I74" s="78">
        <v>775.98</v>
      </c>
      <c r="J74" s="77">
        <v>25607.3</v>
      </c>
      <c r="K74" s="68">
        <v>0</v>
      </c>
      <c r="L74" s="69">
        <f t="shared" si="2"/>
        <v>775.98</v>
      </c>
      <c r="M74" s="273">
        <f t="shared" si="3"/>
        <v>0</v>
      </c>
      <c r="N74" s="71">
        <f t="shared" si="4"/>
        <v>33</v>
      </c>
      <c r="O74" s="72">
        <f t="shared" si="5"/>
        <v>775.98</v>
      </c>
      <c r="P74" s="274">
        <f t="shared" si="6"/>
        <v>25607.34</v>
      </c>
      <c r="AR74" s="121">
        <f t="shared" si="7"/>
        <v>35.159999999999997</v>
      </c>
      <c r="AT74" s="194"/>
    </row>
    <row r="75" spans="2:46" s="121" customFormat="1" ht="16.5" customHeight="1" x14ac:dyDescent="0.2">
      <c r="B75" s="120"/>
      <c r="C75" s="73" t="s">
        <v>273</v>
      </c>
      <c r="D75" s="73" t="s">
        <v>209</v>
      </c>
      <c r="E75" s="74" t="s">
        <v>362</v>
      </c>
      <c r="F75" s="75" t="s">
        <v>363</v>
      </c>
      <c r="G75" s="76" t="s">
        <v>99</v>
      </c>
      <c r="H75" s="77">
        <v>111</v>
      </c>
      <c r="I75" s="78">
        <v>211.75</v>
      </c>
      <c r="J75" s="77">
        <v>23504.3</v>
      </c>
      <c r="K75" s="68">
        <v>0</v>
      </c>
      <c r="L75" s="69">
        <f t="shared" si="2"/>
        <v>211.75</v>
      </c>
      <c r="M75" s="273">
        <f t="shared" si="3"/>
        <v>0</v>
      </c>
      <c r="N75" s="71">
        <f t="shared" si="4"/>
        <v>111</v>
      </c>
      <c r="O75" s="72">
        <f t="shared" si="5"/>
        <v>211.75</v>
      </c>
      <c r="P75" s="274">
        <f t="shared" si="6"/>
        <v>23504.25</v>
      </c>
      <c r="AR75" s="121">
        <f t="shared" si="7"/>
        <v>118.26</v>
      </c>
      <c r="AT75" s="194"/>
    </row>
    <row r="76" spans="2:46" s="121" customFormat="1" ht="16.5" customHeight="1" x14ac:dyDescent="0.2">
      <c r="B76" s="120"/>
      <c r="C76" s="56" t="s">
        <v>276</v>
      </c>
      <c r="D76" s="56" t="s">
        <v>96</v>
      </c>
      <c r="E76" s="57" t="s">
        <v>365</v>
      </c>
      <c r="F76" s="58" t="s">
        <v>366</v>
      </c>
      <c r="G76" s="59" t="s">
        <v>99</v>
      </c>
      <c r="H76" s="60">
        <v>42</v>
      </c>
      <c r="I76" s="61">
        <v>808.86</v>
      </c>
      <c r="J76" s="60">
        <v>33972.1</v>
      </c>
      <c r="K76" s="68">
        <v>0</v>
      </c>
      <c r="L76" s="69">
        <f t="shared" si="2"/>
        <v>808.86</v>
      </c>
      <c r="M76" s="273">
        <f t="shared" si="3"/>
        <v>0</v>
      </c>
      <c r="N76" s="71">
        <f t="shared" si="4"/>
        <v>42</v>
      </c>
      <c r="O76" s="72">
        <f t="shared" si="5"/>
        <v>808.86</v>
      </c>
      <c r="P76" s="274">
        <f t="shared" si="6"/>
        <v>33972.120000000003</v>
      </c>
      <c r="AR76" s="121">
        <f t="shared" si="7"/>
        <v>44.75</v>
      </c>
      <c r="AT76" s="194"/>
    </row>
    <row r="77" spans="2:46" s="121" customFormat="1" ht="16.5" customHeight="1" x14ac:dyDescent="0.2">
      <c r="B77" s="120"/>
      <c r="C77" s="73" t="s">
        <v>279</v>
      </c>
      <c r="D77" s="73" t="s">
        <v>209</v>
      </c>
      <c r="E77" s="74" t="s">
        <v>368</v>
      </c>
      <c r="F77" s="75" t="s">
        <v>369</v>
      </c>
      <c r="G77" s="76" t="s">
        <v>99</v>
      </c>
      <c r="H77" s="77">
        <v>42</v>
      </c>
      <c r="I77" s="78">
        <v>1530.92</v>
      </c>
      <c r="J77" s="77">
        <v>64298.6</v>
      </c>
      <c r="K77" s="68">
        <v>0</v>
      </c>
      <c r="L77" s="69">
        <f t="shared" si="2"/>
        <v>1530.92</v>
      </c>
      <c r="M77" s="273">
        <f t="shared" si="3"/>
        <v>0</v>
      </c>
      <c r="N77" s="71">
        <f t="shared" si="4"/>
        <v>42</v>
      </c>
      <c r="O77" s="72">
        <f t="shared" si="5"/>
        <v>1530.92</v>
      </c>
      <c r="P77" s="274">
        <f t="shared" si="6"/>
        <v>64298.64</v>
      </c>
      <c r="AR77" s="121">
        <f t="shared" si="7"/>
        <v>44.75</v>
      </c>
      <c r="AT77" s="194"/>
    </row>
    <row r="78" spans="2:46" s="121" customFormat="1" ht="16.5" customHeight="1" x14ac:dyDescent="0.2">
      <c r="B78" s="120"/>
      <c r="C78" s="56" t="s">
        <v>282</v>
      </c>
      <c r="D78" s="56" t="s">
        <v>96</v>
      </c>
      <c r="E78" s="57" t="s">
        <v>371</v>
      </c>
      <c r="F78" s="58" t="s">
        <v>372</v>
      </c>
      <c r="G78" s="59" t="s">
        <v>99</v>
      </c>
      <c r="H78" s="60">
        <v>42</v>
      </c>
      <c r="I78" s="61">
        <v>3234.12</v>
      </c>
      <c r="J78" s="60">
        <v>135833</v>
      </c>
      <c r="K78" s="68">
        <v>0</v>
      </c>
      <c r="L78" s="69">
        <f t="shared" si="2"/>
        <v>3234.12</v>
      </c>
      <c r="M78" s="273">
        <f t="shared" si="3"/>
        <v>0</v>
      </c>
      <c r="N78" s="71">
        <f t="shared" si="4"/>
        <v>42</v>
      </c>
      <c r="O78" s="72">
        <f t="shared" si="5"/>
        <v>3234.12</v>
      </c>
      <c r="P78" s="274">
        <f t="shared" si="6"/>
        <v>135833.04</v>
      </c>
      <c r="AR78" s="121">
        <f t="shared" si="7"/>
        <v>44.75</v>
      </c>
      <c r="AT78" s="194"/>
    </row>
    <row r="79" spans="2:46" s="121" customFormat="1" ht="16.5" customHeight="1" x14ac:dyDescent="0.2">
      <c r="B79" s="120"/>
      <c r="C79" s="73" t="s">
        <v>285</v>
      </c>
      <c r="D79" s="73" t="s">
        <v>209</v>
      </c>
      <c r="E79" s="74" t="s">
        <v>374</v>
      </c>
      <c r="F79" s="75" t="s">
        <v>375</v>
      </c>
      <c r="G79" s="76" t="s">
        <v>99</v>
      </c>
      <c r="H79" s="77">
        <v>42</v>
      </c>
      <c r="I79" s="78">
        <v>14588.41</v>
      </c>
      <c r="J79" s="77">
        <v>612713.19999999995</v>
      </c>
      <c r="K79" s="68">
        <v>0</v>
      </c>
      <c r="L79" s="69">
        <f t="shared" si="2"/>
        <v>14588.41</v>
      </c>
      <c r="M79" s="273">
        <f t="shared" si="3"/>
        <v>0</v>
      </c>
      <c r="N79" s="71">
        <f t="shared" si="4"/>
        <v>42</v>
      </c>
      <c r="O79" s="72">
        <f t="shared" si="5"/>
        <v>14588.41</v>
      </c>
      <c r="P79" s="274">
        <f t="shared" si="6"/>
        <v>612713.22</v>
      </c>
      <c r="AR79" s="121">
        <f t="shared" si="7"/>
        <v>44.75</v>
      </c>
      <c r="AT79" s="194"/>
    </row>
    <row r="80" spans="2:46" s="121" customFormat="1" ht="16.5" customHeight="1" x14ac:dyDescent="0.2">
      <c r="B80" s="120"/>
      <c r="C80" s="56" t="s">
        <v>289</v>
      </c>
      <c r="D80" s="56" t="s">
        <v>96</v>
      </c>
      <c r="E80" s="57" t="s">
        <v>377</v>
      </c>
      <c r="F80" s="58" t="s">
        <v>378</v>
      </c>
      <c r="G80" s="59" t="s">
        <v>99</v>
      </c>
      <c r="H80" s="60">
        <v>42</v>
      </c>
      <c r="I80" s="61">
        <v>485.32</v>
      </c>
      <c r="J80" s="60">
        <v>20383.400000000001</v>
      </c>
      <c r="K80" s="68">
        <v>0</v>
      </c>
      <c r="L80" s="69">
        <f t="shared" ref="L80:L97" si="13">I80</f>
        <v>485.32</v>
      </c>
      <c r="M80" s="273">
        <f t="shared" ref="M80:M97" si="14">K80*L80</f>
        <v>0</v>
      </c>
      <c r="N80" s="71">
        <f t="shared" ref="N80:N97" si="15">H80+K80</f>
        <v>42</v>
      </c>
      <c r="O80" s="72">
        <f t="shared" ref="O80:O97" si="16">I80</f>
        <v>485.32</v>
      </c>
      <c r="P80" s="274">
        <f t="shared" ref="P80:P97" si="17">N80*O80</f>
        <v>20383.439999999999</v>
      </c>
      <c r="AR80" s="121">
        <f t="shared" ref="AR80:AR97" si="18">ROUND(902.5/847.12*H80,2)</f>
        <v>44.75</v>
      </c>
      <c r="AT80" s="194"/>
    </row>
    <row r="81" spans="2:46" s="121" customFormat="1" ht="16.5" customHeight="1" x14ac:dyDescent="0.2">
      <c r="B81" s="120"/>
      <c r="C81" s="73" t="s">
        <v>292</v>
      </c>
      <c r="D81" s="73" t="s">
        <v>209</v>
      </c>
      <c r="E81" s="74" t="s">
        <v>380</v>
      </c>
      <c r="F81" s="75" t="s">
        <v>381</v>
      </c>
      <c r="G81" s="76" t="s">
        <v>99</v>
      </c>
      <c r="H81" s="77">
        <v>42</v>
      </c>
      <c r="I81" s="78">
        <v>6510.34</v>
      </c>
      <c r="J81" s="77">
        <v>273434.3</v>
      </c>
      <c r="K81" s="68">
        <v>0</v>
      </c>
      <c r="L81" s="69">
        <f t="shared" si="13"/>
        <v>6510.34</v>
      </c>
      <c r="M81" s="273">
        <f t="shared" si="14"/>
        <v>0</v>
      </c>
      <c r="N81" s="71">
        <f t="shared" si="15"/>
        <v>42</v>
      </c>
      <c r="O81" s="72">
        <f t="shared" si="16"/>
        <v>6510.34</v>
      </c>
      <c r="P81" s="274">
        <f t="shared" si="17"/>
        <v>273434.28000000003</v>
      </c>
      <c r="AR81" s="121">
        <f t="shared" si="18"/>
        <v>44.75</v>
      </c>
      <c r="AT81" s="194"/>
    </row>
    <row r="82" spans="2:46" s="121" customFormat="1" ht="16.5" customHeight="1" x14ac:dyDescent="0.2">
      <c r="B82" s="120"/>
      <c r="C82" s="56" t="s">
        <v>295</v>
      </c>
      <c r="D82" s="56" t="s">
        <v>96</v>
      </c>
      <c r="E82" s="57" t="s">
        <v>383</v>
      </c>
      <c r="F82" s="58" t="s">
        <v>384</v>
      </c>
      <c r="G82" s="59" t="s">
        <v>133</v>
      </c>
      <c r="H82" s="60">
        <v>847.12</v>
      </c>
      <c r="I82" s="61">
        <v>9.2100000000000009</v>
      </c>
      <c r="J82" s="60">
        <v>7802</v>
      </c>
      <c r="K82" s="68">
        <f t="shared" ref="K82" si="19">ROUND(897.1/902.5*AR82-AR82,2)</f>
        <v>-5.4</v>
      </c>
      <c r="L82" s="69">
        <f t="shared" si="13"/>
        <v>9.2100000000000009</v>
      </c>
      <c r="M82" s="273">
        <f t="shared" si="14"/>
        <v>-49.734000000000009</v>
      </c>
      <c r="N82" s="71">
        <f t="shared" si="15"/>
        <v>841.72</v>
      </c>
      <c r="O82" s="72">
        <f t="shared" si="16"/>
        <v>9.2100000000000009</v>
      </c>
      <c r="P82" s="274">
        <f t="shared" si="17"/>
        <v>7752.2412000000013</v>
      </c>
      <c r="AR82" s="121">
        <f t="shared" si="18"/>
        <v>902.5</v>
      </c>
      <c r="AT82" s="194"/>
    </row>
    <row r="83" spans="2:46" s="121" customFormat="1" ht="16.5" customHeight="1" x14ac:dyDescent="0.2">
      <c r="B83" s="120"/>
      <c r="C83" s="56" t="s">
        <v>298</v>
      </c>
      <c r="D83" s="56" t="s">
        <v>96</v>
      </c>
      <c r="E83" s="57" t="s">
        <v>444</v>
      </c>
      <c r="F83" s="58" t="s">
        <v>445</v>
      </c>
      <c r="G83" s="59" t="s">
        <v>99</v>
      </c>
      <c r="H83" s="60">
        <v>7</v>
      </c>
      <c r="I83" s="61">
        <v>252.72000000000003</v>
      </c>
      <c r="J83" s="60">
        <v>1769</v>
      </c>
      <c r="K83" s="68">
        <v>0</v>
      </c>
      <c r="L83" s="69">
        <f t="shared" si="13"/>
        <v>252.72000000000003</v>
      </c>
      <c r="M83" s="273">
        <f t="shared" si="14"/>
        <v>0</v>
      </c>
      <c r="N83" s="71">
        <f t="shared" si="15"/>
        <v>7</v>
      </c>
      <c r="O83" s="72">
        <f t="shared" si="16"/>
        <v>252.72000000000003</v>
      </c>
      <c r="P83" s="274">
        <f t="shared" si="17"/>
        <v>1769.0400000000002</v>
      </c>
      <c r="AR83" s="121">
        <f t="shared" si="18"/>
        <v>7.46</v>
      </c>
      <c r="AT83" s="194"/>
    </row>
    <row r="84" spans="2:46" s="121" customFormat="1" ht="16.5" customHeight="1" x14ac:dyDescent="0.2">
      <c r="B84" s="120"/>
      <c r="C84" s="56" t="s">
        <v>301</v>
      </c>
      <c r="D84" s="56" t="s">
        <v>96</v>
      </c>
      <c r="E84" s="57" t="s">
        <v>446</v>
      </c>
      <c r="F84" s="58" t="s">
        <v>447</v>
      </c>
      <c r="G84" s="59" t="s">
        <v>99</v>
      </c>
      <c r="H84" s="60">
        <v>2</v>
      </c>
      <c r="I84" s="61">
        <v>4239.4800000000005</v>
      </c>
      <c r="J84" s="60">
        <v>8479</v>
      </c>
      <c r="K84" s="68">
        <v>0</v>
      </c>
      <c r="L84" s="69">
        <f t="shared" si="13"/>
        <v>4239.4800000000005</v>
      </c>
      <c r="M84" s="273">
        <f t="shared" si="14"/>
        <v>0</v>
      </c>
      <c r="N84" s="71">
        <f t="shared" si="15"/>
        <v>2</v>
      </c>
      <c r="O84" s="72">
        <f t="shared" si="16"/>
        <v>4239.4800000000005</v>
      </c>
      <c r="P84" s="274">
        <f t="shared" si="17"/>
        <v>8478.9600000000009</v>
      </c>
      <c r="AR84" s="121">
        <f t="shared" si="18"/>
        <v>2.13</v>
      </c>
      <c r="AT84" s="194"/>
    </row>
    <row r="85" spans="2:46" s="121" customFormat="1" ht="16.5" customHeight="1" x14ac:dyDescent="0.2">
      <c r="B85" s="120"/>
      <c r="C85" s="56" t="s">
        <v>304</v>
      </c>
      <c r="D85" s="56" t="s">
        <v>96</v>
      </c>
      <c r="E85" s="57" t="s">
        <v>490</v>
      </c>
      <c r="F85" s="58" t="s">
        <v>491</v>
      </c>
      <c r="G85" s="59" t="s">
        <v>133</v>
      </c>
      <c r="H85" s="60">
        <v>10</v>
      </c>
      <c r="I85" s="61">
        <v>1090.78</v>
      </c>
      <c r="J85" s="60">
        <v>10907.8</v>
      </c>
      <c r="K85" s="68">
        <v>0</v>
      </c>
      <c r="L85" s="69">
        <f t="shared" si="13"/>
        <v>1090.78</v>
      </c>
      <c r="M85" s="273">
        <f t="shared" si="14"/>
        <v>0</v>
      </c>
      <c r="N85" s="71">
        <f t="shared" si="15"/>
        <v>10</v>
      </c>
      <c r="O85" s="72">
        <f t="shared" si="16"/>
        <v>1090.78</v>
      </c>
      <c r="P85" s="274">
        <f t="shared" si="17"/>
        <v>10907.8</v>
      </c>
      <c r="AR85" s="121">
        <f t="shared" si="18"/>
        <v>10.65</v>
      </c>
      <c r="AT85" s="194"/>
    </row>
    <row r="86" spans="2:46" s="121" customFormat="1" ht="16.5" customHeight="1" x14ac:dyDescent="0.2">
      <c r="B86" s="120"/>
      <c r="C86" s="73" t="s">
        <v>307</v>
      </c>
      <c r="D86" s="73" t="s">
        <v>209</v>
      </c>
      <c r="E86" s="74" t="s">
        <v>492</v>
      </c>
      <c r="F86" s="75" t="s">
        <v>493</v>
      </c>
      <c r="G86" s="76" t="s">
        <v>133</v>
      </c>
      <c r="H86" s="77">
        <v>10</v>
      </c>
      <c r="I86" s="78">
        <v>2679.1</v>
      </c>
      <c r="J86" s="77">
        <v>26791</v>
      </c>
      <c r="K86" s="68">
        <v>0</v>
      </c>
      <c r="L86" s="69">
        <f t="shared" si="13"/>
        <v>2679.1</v>
      </c>
      <c r="M86" s="273">
        <f t="shared" si="14"/>
        <v>0</v>
      </c>
      <c r="N86" s="71">
        <f t="shared" si="15"/>
        <v>10</v>
      </c>
      <c r="O86" s="72">
        <f t="shared" si="16"/>
        <v>2679.1</v>
      </c>
      <c r="P86" s="274">
        <f t="shared" si="17"/>
        <v>26791</v>
      </c>
      <c r="AR86" s="121">
        <f t="shared" si="18"/>
        <v>10.65</v>
      </c>
      <c r="AT86" s="194"/>
    </row>
    <row r="87" spans="2:46" s="170" customFormat="1" ht="22.9" customHeight="1" x14ac:dyDescent="0.2">
      <c r="B87" s="165"/>
      <c r="C87" s="252"/>
      <c r="D87" s="253" t="s">
        <v>4</v>
      </c>
      <c r="E87" s="254" t="s">
        <v>118</v>
      </c>
      <c r="F87" s="254" t="s">
        <v>385</v>
      </c>
      <c r="G87" s="252"/>
      <c r="H87" s="252"/>
      <c r="I87" s="255"/>
      <c r="J87" s="256">
        <f>+SUBTOTAL(9,J88:J91)</f>
        <v>109478.9</v>
      </c>
      <c r="K87" s="261"/>
      <c r="L87" s="262"/>
      <c r="M87" s="279">
        <f>SUM(M88:M91)</f>
        <v>0</v>
      </c>
      <c r="N87" s="280"/>
      <c r="O87" s="262"/>
      <c r="P87" s="279">
        <f>SUM(P88:P91)</f>
        <v>109478.868</v>
      </c>
      <c r="AR87" s="121">
        <f t="shared" si="18"/>
        <v>0</v>
      </c>
      <c r="AS87" s="121"/>
      <c r="AT87" s="194"/>
    </row>
    <row r="88" spans="2:46" s="121" customFormat="1" ht="16.5" customHeight="1" x14ac:dyDescent="0.2">
      <c r="B88" s="120"/>
      <c r="C88" s="56" t="s">
        <v>310</v>
      </c>
      <c r="D88" s="56" t="s">
        <v>96</v>
      </c>
      <c r="E88" s="57" t="s">
        <v>387</v>
      </c>
      <c r="F88" s="58" t="s">
        <v>388</v>
      </c>
      <c r="G88" s="59" t="s">
        <v>133</v>
      </c>
      <c r="H88" s="60">
        <v>649.20000000000005</v>
      </c>
      <c r="I88" s="61">
        <v>87.65</v>
      </c>
      <c r="J88" s="60">
        <v>56902.400000000001</v>
      </c>
      <c r="K88" s="68">
        <v>0</v>
      </c>
      <c r="L88" s="69">
        <f t="shared" si="13"/>
        <v>87.65</v>
      </c>
      <c r="M88" s="273">
        <f t="shared" si="14"/>
        <v>0</v>
      </c>
      <c r="N88" s="71">
        <f t="shared" si="15"/>
        <v>649.20000000000005</v>
      </c>
      <c r="O88" s="72">
        <f t="shared" si="16"/>
        <v>87.65</v>
      </c>
      <c r="P88" s="274">
        <f t="shared" si="17"/>
        <v>56902.380000000005</v>
      </c>
      <c r="AR88" s="121">
        <f t="shared" si="18"/>
        <v>691.64</v>
      </c>
      <c r="AT88" s="194"/>
    </row>
    <row r="89" spans="2:46" s="121" customFormat="1" ht="16.5" customHeight="1" x14ac:dyDescent="0.2">
      <c r="B89" s="120"/>
      <c r="C89" s="56" t="s">
        <v>313</v>
      </c>
      <c r="D89" s="56" t="s">
        <v>96</v>
      </c>
      <c r="E89" s="57" t="s">
        <v>390</v>
      </c>
      <c r="F89" s="58" t="s">
        <v>391</v>
      </c>
      <c r="G89" s="59" t="s">
        <v>133</v>
      </c>
      <c r="H89" s="60">
        <v>649.20000000000005</v>
      </c>
      <c r="I89" s="61">
        <v>72.34</v>
      </c>
      <c r="J89" s="60">
        <v>46963.1</v>
      </c>
      <c r="K89" s="68">
        <v>0</v>
      </c>
      <c r="L89" s="69">
        <f t="shared" si="13"/>
        <v>72.34</v>
      </c>
      <c r="M89" s="273">
        <f t="shared" si="14"/>
        <v>0</v>
      </c>
      <c r="N89" s="71">
        <f t="shared" si="15"/>
        <v>649.20000000000005</v>
      </c>
      <c r="O89" s="72">
        <f t="shared" si="16"/>
        <v>72.34</v>
      </c>
      <c r="P89" s="274">
        <f t="shared" si="17"/>
        <v>46963.128000000004</v>
      </c>
      <c r="AR89" s="121">
        <f t="shared" si="18"/>
        <v>691.64</v>
      </c>
      <c r="AT89" s="194"/>
    </row>
    <row r="90" spans="2:46" s="121" customFormat="1" ht="16.5" customHeight="1" x14ac:dyDescent="0.2">
      <c r="B90" s="120"/>
      <c r="C90" s="56" t="s">
        <v>316</v>
      </c>
      <c r="D90" s="56" t="s">
        <v>96</v>
      </c>
      <c r="E90" s="57" t="s">
        <v>393</v>
      </c>
      <c r="F90" s="58" t="s">
        <v>394</v>
      </c>
      <c r="G90" s="59" t="s">
        <v>99</v>
      </c>
      <c r="H90" s="60">
        <v>1</v>
      </c>
      <c r="I90" s="61">
        <v>1148.19</v>
      </c>
      <c r="J90" s="60">
        <v>1148.2</v>
      </c>
      <c r="K90" s="68">
        <v>0</v>
      </c>
      <c r="L90" s="69">
        <f t="shared" si="13"/>
        <v>1148.19</v>
      </c>
      <c r="M90" s="273">
        <f t="shared" si="14"/>
        <v>0</v>
      </c>
      <c r="N90" s="71">
        <f t="shared" si="15"/>
        <v>1</v>
      </c>
      <c r="O90" s="72">
        <f t="shared" si="16"/>
        <v>1148.19</v>
      </c>
      <c r="P90" s="274">
        <f t="shared" si="17"/>
        <v>1148.19</v>
      </c>
      <c r="AP90" s="334" t="s">
        <v>1170</v>
      </c>
      <c r="AQ90" s="225" t="s">
        <v>1172</v>
      </c>
      <c r="AR90" s="121">
        <f t="shared" si="18"/>
        <v>1.07</v>
      </c>
      <c r="AT90" s="194"/>
    </row>
    <row r="91" spans="2:46" s="121" customFormat="1" ht="16.5" customHeight="1" x14ac:dyDescent="0.2">
      <c r="B91" s="120"/>
      <c r="C91" s="56" t="s">
        <v>319</v>
      </c>
      <c r="D91" s="56" t="s">
        <v>96</v>
      </c>
      <c r="E91" s="57" t="s">
        <v>396</v>
      </c>
      <c r="F91" s="58" t="s">
        <v>397</v>
      </c>
      <c r="G91" s="59" t="s">
        <v>99</v>
      </c>
      <c r="H91" s="60">
        <v>1</v>
      </c>
      <c r="I91" s="61">
        <v>4465.17</v>
      </c>
      <c r="J91" s="60">
        <v>4465.2</v>
      </c>
      <c r="K91" s="68">
        <v>0</v>
      </c>
      <c r="L91" s="69">
        <f t="shared" si="13"/>
        <v>4465.17</v>
      </c>
      <c r="M91" s="273">
        <f t="shared" si="14"/>
        <v>0</v>
      </c>
      <c r="N91" s="71">
        <f t="shared" si="15"/>
        <v>1</v>
      </c>
      <c r="O91" s="72">
        <f t="shared" si="16"/>
        <v>4465.17</v>
      </c>
      <c r="P91" s="274">
        <f t="shared" si="17"/>
        <v>4465.17</v>
      </c>
      <c r="AP91" s="334"/>
      <c r="AR91" s="121">
        <f t="shared" si="18"/>
        <v>1.07</v>
      </c>
      <c r="AT91" s="194"/>
    </row>
    <row r="92" spans="2:46" s="170" customFormat="1" ht="22.9" customHeight="1" x14ac:dyDescent="0.2">
      <c r="B92" s="165"/>
      <c r="C92" s="252"/>
      <c r="D92" s="253" t="s">
        <v>4</v>
      </c>
      <c r="E92" s="254" t="s">
        <v>398</v>
      </c>
      <c r="F92" s="254" t="s">
        <v>399</v>
      </c>
      <c r="G92" s="252"/>
      <c r="H92" s="252"/>
      <c r="I92" s="255"/>
      <c r="J92" s="256">
        <f>+SUBTOTAL(9,J93:J95)</f>
        <v>248183.80000000002</v>
      </c>
      <c r="K92" s="261"/>
      <c r="L92" s="262"/>
      <c r="M92" s="279">
        <f>SUM(M93:M95)</f>
        <v>-1287.9481999999998</v>
      </c>
      <c r="N92" s="280"/>
      <c r="O92" s="262"/>
      <c r="P92" s="279">
        <f>SUM(P93:P95)</f>
        <v>246895.83909999998</v>
      </c>
      <c r="AR92" s="121">
        <f t="shared" si="18"/>
        <v>0</v>
      </c>
      <c r="AS92" s="121"/>
      <c r="AT92" s="194"/>
    </row>
    <row r="93" spans="2:46" s="121" customFormat="1" ht="16.5" customHeight="1" x14ac:dyDescent="0.2">
      <c r="B93" s="120"/>
      <c r="C93" s="56" t="s">
        <v>322</v>
      </c>
      <c r="D93" s="56" t="s">
        <v>96</v>
      </c>
      <c r="E93" s="57" t="s">
        <v>401</v>
      </c>
      <c r="F93" s="58" t="s">
        <v>402</v>
      </c>
      <c r="G93" s="59" t="s">
        <v>201</v>
      </c>
      <c r="H93" s="60">
        <v>830.06</v>
      </c>
      <c r="I93" s="61">
        <v>122.13</v>
      </c>
      <c r="J93" s="60">
        <v>101375.2</v>
      </c>
      <c r="K93" s="68">
        <f t="shared" ref="K93" si="20">ROUND(897.1/902.5*AR93-AR93,2)</f>
        <v>-5.29</v>
      </c>
      <c r="L93" s="69">
        <f t="shared" si="13"/>
        <v>122.13</v>
      </c>
      <c r="M93" s="273">
        <f t="shared" si="14"/>
        <v>-646.06769999999995</v>
      </c>
      <c r="N93" s="71">
        <f t="shared" si="15"/>
        <v>824.77</v>
      </c>
      <c r="O93" s="72">
        <f t="shared" si="16"/>
        <v>122.13</v>
      </c>
      <c r="P93" s="274">
        <f t="shared" si="17"/>
        <v>100729.16009999999</v>
      </c>
      <c r="AR93" s="121">
        <f t="shared" si="18"/>
        <v>884.32</v>
      </c>
      <c r="AT93" s="194"/>
    </row>
    <row r="94" spans="2:46" s="121" customFormat="1" ht="16.5" customHeight="1" x14ac:dyDescent="0.2">
      <c r="B94" s="120"/>
      <c r="C94" s="56" t="s">
        <v>325</v>
      </c>
      <c r="D94" s="56" t="s">
        <v>96</v>
      </c>
      <c r="E94" s="57" t="s">
        <v>407</v>
      </c>
      <c r="F94" s="58" t="s">
        <v>408</v>
      </c>
      <c r="G94" s="59" t="s">
        <v>201</v>
      </c>
      <c r="H94" s="60">
        <v>178.66</v>
      </c>
      <c r="I94" s="61">
        <v>257.77999999999997</v>
      </c>
      <c r="J94" s="60">
        <v>46055</v>
      </c>
      <c r="K94" s="68">
        <v>0</v>
      </c>
      <c r="L94" s="69">
        <f t="shared" si="13"/>
        <v>257.77999999999997</v>
      </c>
      <c r="M94" s="273">
        <f t="shared" si="14"/>
        <v>0</v>
      </c>
      <c r="N94" s="71">
        <f t="shared" si="15"/>
        <v>178.66</v>
      </c>
      <c r="O94" s="72">
        <f t="shared" si="16"/>
        <v>257.77999999999997</v>
      </c>
      <c r="P94" s="274">
        <f t="shared" si="17"/>
        <v>46054.974799999996</v>
      </c>
      <c r="AR94" s="121">
        <f t="shared" si="18"/>
        <v>190.34</v>
      </c>
      <c r="AT94" s="194"/>
    </row>
    <row r="95" spans="2:46" s="121" customFormat="1" ht="16.5" customHeight="1" x14ac:dyDescent="0.2">
      <c r="B95" s="120"/>
      <c r="C95" s="56" t="s">
        <v>328</v>
      </c>
      <c r="D95" s="56" t="s">
        <v>96</v>
      </c>
      <c r="E95" s="57" t="s">
        <v>410</v>
      </c>
      <c r="F95" s="58" t="s">
        <v>411</v>
      </c>
      <c r="G95" s="59" t="s">
        <v>201</v>
      </c>
      <c r="H95" s="60">
        <v>651.41</v>
      </c>
      <c r="I95" s="61">
        <v>154.66999999999999</v>
      </c>
      <c r="J95" s="60">
        <v>100753.60000000001</v>
      </c>
      <c r="K95" s="68">
        <f t="shared" ref="K95" si="21">ROUND(897.1/902.5*AR95-AR95,2)</f>
        <v>-4.1500000000000004</v>
      </c>
      <c r="L95" s="69">
        <f t="shared" si="13"/>
        <v>154.66999999999999</v>
      </c>
      <c r="M95" s="273">
        <f t="shared" si="14"/>
        <v>-641.88049999999998</v>
      </c>
      <c r="N95" s="71">
        <f t="shared" si="15"/>
        <v>647.26</v>
      </c>
      <c r="O95" s="72">
        <f t="shared" si="16"/>
        <v>154.66999999999999</v>
      </c>
      <c r="P95" s="274">
        <f t="shared" si="17"/>
        <v>100111.70419999999</v>
      </c>
      <c r="AR95" s="121">
        <f t="shared" si="18"/>
        <v>694</v>
      </c>
      <c r="AT95" s="194"/>
    </row>
    <row r="96" spans="2:46" s="170" customFormat="1" ht="22.9" customHeight="1" x14ac:dyDescent="0.2">
      <c r="B96" s="165"/>
      <c r="C96" s="252"/>
      <c r="D96" s="253" t="s">
        <v>4</v>
      </c>
      <c r="E96" s="254" t="s">
        <v>412</v>
      </c>
      <c r="F96" s="254" t="s">
        <v>413</v>
      </c>
      <c r="G96" s="252"/>
      <c r="H96" s="252"/>
      <c r="I96" s="255"/>
      <c r="J96" s="256">
        <f>+SUBTOTAL(9,J97)</f>
        <v>262771.3</v>
      </c>
      <c r="K96" s="261"/>
      <c r="L96" s="262"/>
      <c r="M96" s="279">
        <f>M97</f>
        <v>-1675.1088000000002</v>
      </c>
      <c r="N96" s="280"/>
      <c r="O96" s="262"/>
      <c r="P96" s="279">
        <f>P97</f>
        <v>261096.14220000003</v>
      </c>
      <c r="AR96" s="121">
        <f t="shared" si="18"/>
        <v>0</v>
      </c>
      <c r="AS96" s="121"/>
      <c r="AT96" s="194"/>
    </row>
    <row r="97" spans="2:46" s="121" customFormat="1" ht="16.5" customHeight="1" x14ac:dyDescent="0.2">
      <c r="B97" s="120"/>
      <c r="C97" s="56" t="s">
        <v>331</v>
      </c>
      <c r="D97" s="56" t="s">
        <v>96</v>
      </c>
      <c r="E97" s="57" t="s">
        <v>415</v>
      </c>
      <c r="F97" s="58" t="s">
        <v>416</v>
      </c>
      <c r="G97" s="59" t="s">
        <v>201</v>
      </c>
      <c r="H97" s="60">
        <v>2296.5500000000002</v>
      </c>
      <c r="I97" s="61">
        <v>114.42</v>
      </c>
      <c r="J97" s="60">
        <v>262771.3</v>
      </c>
      <c r="K97" s="68">
        <f t="shared" ref="K97" si="22">ROUND(897.1/902.5*AR97-AR97,2)</f>
        <v>-14.64</v>
      </c>
      <c r="L97" s="69">
        <f t="shared" si="13"/>
        <v>114.42</v>
      </c>
      <c r="M97" s="273">
        <f t="shared" si="14"/>
        <v>-1675.1088000000002</v>
      </c>
      <c r="N97" s="71">
        <f t="shared" si="15"/>
        <v>2281.9100000000003</v>
      </c>
      <c r="O97" s="72">
        <f t="shared" si="16"/>
        <v>114.42</v>
      </c>
      <c r="P97" s="274">
        <f t="shared" si="17"/>
        <v>261096.14220000003</v>
      </c>
      <c r="AR97" s="121">
        <f t="shared" si="18"/>
        <v>2446.69</v>
      </c>
      <c r="AT97" s="194"/>
    </row>
    <row r="98" spans="2:46" s="121" customFormat="1" ht="6.95" customHeight="1" x14ac:dyDescent="0.2">
      <c r="B98" s="120"/>
      <c r="C98" s="120"/>
      <c r="D98" s="120"/>
      <c r="E98" s="120"/>
      <c r="F98" s="120"/>
      <c r="G98" s="120"/>
      <c r="H98" s="120"/>
      <c r="I98" s="153"/>
      <c r="J98" s="120"/>
    </row>
    <row r="99" spans="2:46" ht="18" customHeight="1" x14ac:dyDescent="0.2">
      <c r="D99" s="42"/>
      <c r="E99" s="43" t="s">
        <v>897</v>
      </c>
      <c r="F99" s="44"/>
      <c r="G99" s="44"/>
      <c r="H99" s="45"/>
      <c r="I99" s="44"/>
      <c r="J99" s="46">
        <f>ROUND(SUBTOTAL(9,J12:J97),2)</f>
        <v>9461323</v>
      </c>
      <c r="K99" s="49"/>
      <c r="L99" s="46"/>
      <c r="M99" s="281">
        <f>M96+M92+M87+M62+M53+M43+M40+M14</f>
        <v>-38501.128799999999</v>
      </c>
      <c r="N99" s="49"/>
      <c r="O99" s="46"/>
      <c r="P99" s="281">
        <f>P96+P92+P87+P62+P53+P43+P40+P14</f>
        <v>9422822.2127999999</v>
      </c>
    </row>
    <row r="100" spans="2:46" ht="12.75" x14ac:dyDescent="0.2">
      <c r="H100" s="50"/>
      <c r="I100" s="8"/>
      <c r="J100" s="9"/>
    </row>
    <row r="101" spans="2:46" ht="14.25" x14ac:dyDescent="0.2">
      <c r="E101" s="6" t="s">
        <v>849</v>
      </c>
      <c r="F101" s="6"/>
      <c r="G101" s="320" t="s">
        <v>1224</v>
      </c>
      <c r="H101" s="50"/>
      <c r="I101" s="8"/>
      <c r="J101" s="6"/>
      <c r="K101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97" xr:uid="{00000000-0001-0000-1600-000000000000}"/>
  <mergeCells count="5">
    <mergeCell ref="AP90:AP91"/>
    <mergeCell ref="X16:X17"/>
    <mergeCell ref="K9:M9"/>
    <mergeCell ref="N9:P9"/>
    <mergeCell ref="V16:V17"/>
  </mergeCells>
  <conditionalFormatting sqref="G101:I101 L101:P101">
    <cfRule type="cellIs" dxfId="410" priority="4" operator="lessThan">
      <formula>0</formula>
    </cfRule>
  </conditionalFormatting>
  <conditionalFormatting sqref="G101:I101 L101:M101">
    <cfRule type="cellIs" dxfId="409" priority="3" operator="lessThan">
      <formula>0</formula>
    </cfRule>
  </conditionalFormatting>
  <conditionalFormatting sqref="G101:I101">
    <cfRule type="cellIs" dxfId="408" priority="2" operator="lessThan">
      <formula>0</formula>
    </cfRule>
  </conditionalFormatting>
  <conditionalFormatting sqref="G101:I101">
    <cfRule type="cellIs" dxfId="407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9" fitToHeight="0" orientation="landscape" r:id="rId1"/>
  <headerFooter>
    <oddFooter>&amp;CStrana &amp;P z &amp;N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B1:AA83"/>
  <sheetViews>
    <sheetView showGridLines="0" view="pageBreakPreview" topLeftCell="A2" zoomScale="60" zoomScaleNormal="85" workbookViewId="0">
      <selection activeCell="M51" sqref="M51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2" width="19.1640625" style="8" customWidth="1"/>
    <col min="13" max="13" width="21" style="8" bestFit="1" customWidth="1"/>
    <col min="14" max="14" width="17.6640625" style="8" bestFit="1" customWidth="1"/>
    <col min="15" max="15" width="21.6640625" style="8" bestFit="1" customWidth="1"/>
    <col min="16" max="16" width="21" style="8" bestFit="1" customWidth="1"/>
    <col min="17" max="17" width="21" style="8" customWidth="1"/>
    <col min="18" max="18" width="18.33203125" style="8" bestFit="1" customWidth="1"/>
    <col min="19" max="19" width="17" style="8" bestFit="1" customWidth="1"/>
    <col min="20" max="21" width="0" style="8" hidden="1" customWidth="1"/>
    <col min="22" max="22" width="8.1640625" style="8" bestFit="1" customWidth="1"/>
    <col min="23" max="23" width="12" style="8" bestFit="1" customWidth="1"/>
    <col min="24" max="24" width="17.6640625" style="8" bestFit="1" customWidth="1"/>
    <col min="25" max="27" width="9.33203125" style="8" hidden="1" customWidth="1"/>
    <col min="28" max="16384" width="9.33203125" style="8"/>
  </cols>
  <sheetData>
    <row r="1" spans="2:24" ht="15" x14ac:dyDescent="0.2">
      <c r="F1" s="11"/>
      <c r="G1" s="89"/>
      <c r="H1" s="88"/>
      <c r="I1" s="8"/>
      <c r="J1" s="9"/>
    </row>
    <row r="2" spans="2:24" s="88" customFormat="1" ht="15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24" s="88" customFormat="1" ht="15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24" s="13" customFormat="1" ht="15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24" s="13" customFormat="1" ht="15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24" s="13" customFormat="1" ht="15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24" s="13" customFormat="1" ht="15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24" s="14" customFormat="1" ht="12.75" x14ac:dyDescent="0.2">
      <c r="D8" s="146"/>
      <c r="F8" s="11"/>
      <c r="G8" s="105"/>
      <c r="H8" s="145"/>
      <c r="K8" s="149" t="s">
        <v>851</v>
      </c>
      <c r="L8" s="180" t="str">
        <f>+C12</f>
        <v>C1 - Stoka C1</v>
      </c>
      <c r="M8" s="180"/>
      <c r="O8" s="151"/>
    </row>
    <row r="9" spans="2:24" s="15" customFormat="1" ht="12.75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  <c r="Q9" s="87"/>
    </row>
    <row r="10" spans="2:24" s="15" customFormat="1" ht="12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41"/>
      <c r="R10" s="189" t="s">
        <v>1110</v>
      </c>
      <c r="X10" s="189" t="s">
        <v>1163</v>
      </c>
    </row>
    <row r="11" spans="2:24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24" s="121" customFormat="1" ht="15.75" x14ac:dyDescent="0.25">
      <c r="B12" s="120"/>
      <c r="C12" s="152" t="s">
        <v>494</v>
      </c>
      <c r="D12" s="120"/>
      <c r="E12" s="120"/>
      <c r="F12" s="120"/>
      <c r="G12" s="120"/>
      <c r="H12" s="120"/>
      <c r="I12" s="153"/>
      <c r="J12" s="154">
        <f>+SUBTOTAL(9,J13:J79)</f>
        <v>544334.70000000019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24" s="170" customFormat="1" ht="15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+SUBTOTAL(9,J14:J79)</f>
        <v>544334.70000000019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24" s="170" customFormat="1" ht="33.75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+SUBTOTAL(9,J15:J38)</f>
        <v>222260.09999999998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SUM(M15:M38)</f>
        <v>-1232.3651</v>
      </c>
      <c r="N14" s="278" t="str">
        <f>IF(ISBLANK(H14),"",H14-K14)</f>
        <v/>
      </c>
      <c r="O14" s="272" t="str">
        <f>IF(ISBLANK(H14),"",J14-L14)</f>
        <v/>
      </c>
      <c r="P14" s="272">
        <f>SUM(P15:P38)</f>
        <v>221028.03349999996</v>
      </c>
      <c r="Q14" s="218" t="s">
        <v>1216</v>
      </c>
    </row>
    <row r="15" spans="2:24" s="121" customFormat="1" ht="12" x14ac:dyDescent="0.2">
      <c r="B15" s="120"/>
      <c r="C15" s="56" t="s">
        <v>8</v>
      </c>
      <c r="D15" s="56" t="s">
        <v>96</v>
      </c>
      <c r="E15" s="57" t="s">
        <v>106</v>
      </c>
      <c r="F15" s="58" t="s">
        <v>107</v>
      </c>
      <c r="G15" s="59" t="s">
        <v>108</v>
      </c>
      <c r="H15" s="60">
        <v>2.75</v>
      </c>
      <c r="I15" s="61">
        <v>31.57</v>
      </c>
      <c r="J15" s="60">
        <v>86.8</v>
      </c>
      <c r="K15" s="68">
        <f>ROUND(59.9/60.2*Q15-Q15,2)</f>
        <v>-0.02</v>
      </c>
      <c r="L15" s="69">
        <f>I15</f>
        <v>31.57</v>
      </c>
      <c r="M15" s="273">
        <f>K15*L15</f>
        <v>-0.63140000000000007</v>
      </c>
      <c r="N15" s="71">
        <f>H15+K15</f>
        <v>2.73</v>
      </c>
      <c r="O15" s="72">
        <f>I15</f>
        <v>31.57</v>
      </c>
      <c r="P15" s="274">
        <f>N15*O15</f>
        <v>86.186099999999996</v>
      </c>
      <c r="Q15" s="291">
        <f>ROUND(60.2/54.05*H15,2)</f>
        <v>3.06</v>
      </c>
      <c r="S15" s="194"/>
      <c r="V15" s="121">
        <f t="shared" ref="V15:V46" si="0">0.05*H15</f>
        <v>0.13750000000000001</v>
      </c>
      <c r="W15" s="194">
        <f>N15-V15</f>
        <v>2.5924999999999998</v>
      </c>
    </row>
    <row r="16" spans="2:24" s="121" customFormat="1" ht="12" x14ac:dyDescent="0.2">
      <c r="B16" s="120"/>
      <c r="C16" s="56" t="s">
        <v>13</v>
      </c>
      <c r="D16" s="56" t="s">
        <v>96</v>
      </c>
      <c r="E16" s="57" t="s">
        <v>110</v>
      </c>
      <c r="F16" s="58" t="s">
        <v>111</v>
      </c>
      <c r="G16" s="59" t="s">
        <v>108</v>
      </c>
      <c r="H16" s="60">
        <v>2.75</v>
      </c>
      <c r="I16" s="61">
        <v>23.67</v>
      </c>
      <c r="J16" s="60">
        <v>65.099999999999994</v>
      </c>
      <c r="K16" s="68">
        <f t="shared" ref="K16:K41" si="1">ROUND(59.9/60.2*Q16-Q16,2)</f>
        <v>-0.02</v>
      </c>
      <c r="L16" s="69">
        <f t="shared" ref="L16:L79" si="2">I16</f>
        <v>23.67</v>
      </c>
      <c r="M16" s="273">
        <f t="shared" ref="M16:M79" si="3">K16*L16</f>
        <v>-0.47340000000000004</v>
      </c>
      <c r="N16" s="71">
        <f t="shared" ref="N16:N79" si="4">H16+K16</f>
        <v>2.73</v>
      </c>
      <c r="O16" s="72">
        <f t="shared" ref="O16:O79" si="5">I16</f>
        <v>23.67</v>
      </c>
      <c r="P16" s="274">
        <f t="shared" ref="P16:P79" si="6">N16*O16</f>
        <v>64.619100000000003</v>
      </c>
      <c r="Q16" s="291">
        <f t="shared" ref="Q16:Q79" si="7">ROUND(60.2/54.05*H16,2)</f>
        <v>3.06</v>
      </c>
      <c r="S16" s="194"/>
      <c r="V16" s="121">
        <f t="shared" si="0"/>
        <v>0.13750000000000001</v>
      </c>
      <c r="W16" s="194">
        <f t="shared" ref="W16:W79" si="8">N16-V16</f>
        <v>2.5924999999999998</v>
      </c>
    </row>
    <row r="17" spans="2:23" s="121" customFormat="1" ht="12" x14ac:dyDescent="0.2">
      <c r="B17" s="120"/>
      <c r="C17" s="56" t="s">
        <v>100</v>
      </c>
      <c r="D17" s="56" t="s">
        <v>96</v>
      </c>
      <c r="E17" s="57" t="s">
        <v>113</v>
      </c>
      <c r="F17" s="58" t="s">
        <v>114</v>
      </c>
      <c r="G17" s="59" t="s">
        <v>108</v>
      </c>
      <c r="H17" s="60">
        <v>2.75</v>
      </c>
      <c r="I17" s="61">
        <v>26.3</v>
      </c>
      <c r="J17" s="60">
        <v>72.3</v>
      </c>
      <c r="K17" s="68">
        <f t="shared" si="1"/>
        <v>-0.02</v>
      </c>
      <c r="L17" s="69">
        <f t="shared" si="2"/>
        <v>26.3</v>
      </c>
      <c r="M17" s="273">
        <f t="shared" si="3"/>
        <v>-0.52600000000000002</v>
      </c>
      <c r="N17" s="71">
        <f t="shared" si="4"/>
        <v>2.73</v>
      </c>
      <c r="O17" s="72">
        <f t="shared" si="5"/>
        <v>26.3</v>
      </c>
      <c r="P17" s="274">
        <f t="shared" si="6"/>
        <v>71.799000000000007</v>
      </c>
      <c r="Q17" s="291">
        <f t="shared" si="7"/>
        <v>3.06</v>
      </c>
      <c r="S17" s="194"/>
      <c r="V17" s="121">
        <f t="shared" si="0"/>
        <v>0.13750000000000001</v>
      </c>
      <c r="W17" s="194">
        <f t="shared" si="8"/>
        <v>2.5924999999999998</v>
      </c>
    </row>
    <row r="18" spans="2:23" s="121" customFormat="1" ht="12" x14ac:dyDescent="0.2">
      <c r="B18" s="120"/>
      <c r="C18" s="56" t="s">
        <v>105</v>
      </c>
      <c r="D18" s="56" t="s">
        <v>96</v>
      </c>
      <c r="E18" s="57" t="s">
        <v>116</v>
      </c>
      <c r="F18" s="58" t="s">
        <v>117</v>
      </c>
      <c r="G18" s="59" t="s">
        <v>108</v>
      </c>
      <c r="H18" s="60">
        <v>56.65</v>
      </c>
      <c r="I18" s="61">
        <v>40.770000000000003</v>
      </c>
      <c r="J18" s="60">
        <v>2309.6</v>
      </c>
      <c r="K18" s="68">
        <f t="shared" si="1"/>
        <v>-0.31</v>
      </c>
      <c r="L18" s="69">
        <f t="shared" si="2"/>
        <v>40.770000000000003</v>
      </c>
      <c r="M18" s="273">
        <f t="shared" si="3"/>
        <v>-12.6387</v>
      </c>
      <c r="N18" s="71">
        <f t="shared" si="4"/>
        <v>56.339999999999996</v>
      </c>
      <c r="O18" s="72">
        <f t="shared" si="5"/>
        <v>40.770000000000003</v>
      </c>
      <c r="P18" s="274">
        <f t="shared" si="6"/>
        <v>2296.9818</v>
      </c>
      <c r="Q18" s="291">
        <f t="shared" si="7"/>
        <v>63.1</v>
      </c>
      <c r="S18" s="194"/>
      <c r="V18" s="121">
        <f t="shared" si="0"/>
        <v>2.8325</v>
      </c>
      <c r="W18" s="194">
        <f t="shared" si="8"/>
        <v>53.507499999999993</v>
      </c>
    </row>
    <row r="19" spans="2:23" s="121" customFormat="1" ht="12" x14ac:dyDescent="0.2">
      <c r="B19" s="120"/>
      <c r="C19" s="56" t="s">
        <v>109</v>
      </c>
      <c r="D19" s="56" t="s">
        <v>96</v>
      </c>
      <c r="E19" s="57" t="s">
        <v>119</v>
      </c>
      <c r="F19" s="58" t="s">
        <v>120</v>
      </c>
      <c r="G19" s="59" t="s">
        <v>108</v>
      </c>
      <c r="H19" s="60">
        <v>56.65</v>
      </c>
      <c r="I19" s="61">
        <v>53.92</v>
      </c>
      <c r="J19" s="60">
        <v>3054.6</v>
      </c>
      <c r="K19" s="68">
        <f t="shared" si="1"/>
        <v>-0.31</v>
      </c>
      <c r="L19" s="69">
        <f t="shared" si="2"/>
        <v>53.92</v>
      </c>
      <c r="M19" s="273">
        <f t="shared" si="3"/>
        <v>-16.715199999999999</v>
      </c>
      <c r="N19" s="71">
        <f t="shared" si="4"/>
        <v>56.339999999999996</v>
      </c>
      <c r="O19" s="72">
        <f t="shared" si="5"/>
        <v>53.92</v>
      </c>
      <c r="P19" s="274">
        <f t="shared" si="6"/>
        <v>3037.8528000000001</v>
      </c>
      <c r="Q19" s="291">
        <f t="shared" si="7"/>
        <v>63.1</v>
      </c>
      <c r="S19" s="194"/>
      <c r="V19" s="121">
        <f t="shared" si="0"/>
        <v>2.8325</v>
      </c>
      <c r="W19" s="194">
        <f t="shared" si="8"/>
        <v>53.507499999999993</v>
      </c>
    </row>
    <row r="20" spans="2:23" s="121" customFormat="1" ht="12" x14ac:dyDescent="0.2">
      <c r="B20" s="120"/>
      <c r="C20" s="56" t="s">
        <v>112</v>
      </c>
      <c r="D20" s="56" t="s">
        <v>96</v>
      </c>
      <c r="E20" s="57" t="s">
        <v>145</v>
      </c>
      <c r="F20" s="58" t="s">
        <v>146</v>
      </c>
      <c r="G20" s="59" t="s">
        <v>133</v>
      </c>
      <c r="H20" s="60">
        <v>3.3</v>
      </c>
      <c r="I20" s="61">
        <v>147.30000000000001</v>
      </c>
      <c r="J20" s="60">
        <v>486.1</v>
      </c>
      <c r="K20" s="68">
        <f t="shared" si="1"/>
        <v>-0.02</v>
      </c>
      <c r="L20" s="69">
        <f t="shared" si="2"/>
        <v>147.30000000000001</v>
      </c>
      <c r="M20" s="273">
        <f t="shared" si="3"/>
        <v>-2.9460000000000002</v>
      </c>
      <c r="N20" s="71">
        <f t="shared" si="4"/>
        <v>3.28</v>
      </c>
      <c r="O20" s="72">
        <f t="shared" si="5"/>
        <v>147.30000000000001</v>
      </c>
      <c r="P20" s="274">
        <f t="shared" si="6"/>
        <v>483.14400000000001</v>
      </c>
      <c r="Q20" s="291">
        <f t="shared" si="7"/>
        <v>3.68</v>
      </c>
      <c r="S20" s="194"/>
      <c r="V20" s="121">
        <f t="shared" si="0"/>
        <v>0.16500000000000001</v>
      </c>
      <c r="W20" s="194">
        <f t="shared" si="8"/>
        <v>3.1149999999999998</v>
      </c>
    </row>
    <row r="21" spans="2:23" s="121" customFormat="1" ht="12" x14ac:dyDescent="0.2">
      <c r="B21" s="120"/>
      <c r="C21" s="56" t="s">
        <v>115</v>
      </c>
      <c r="D21" s="56" t="s">
        <v>96</v>
      </c>
      <c r="E21" s="57" t="s">
        <v>148</v>
      </c>
      <c r="F21" s="58" t="s">
        <v>149</v>
      </c>
      <c r="G21" s="59" t="s">
        <v>150</v>
      </c>
      <c r="H21" s="60">
        <v>2.69</v>
      </c>
      <c r="I21" s="61">
        <v>38.14</v>
      </c>
      <c r="J21" s="60">
        <v>102.6</v>
      </c>
      <c r="K21" s="68">
        <f t="shared" si="1"/>
        <v>-0.01</v>
      </c>
      <c r="L21" s="69">
        <f t="shared" si="2"/>
        <v>38.14</v>
      </c>
      <c r="M21" s="273">
        <f t="shared" si="3"/>
        <v>-0.38140000000000002</v>
      </c>
      <c r="N21" s="71">
        <f t="shared" si="4"/>
        <v>2.68</v>
      </c>
      <c r="O21" s="72">
        <f t="shared" si="5"/>
        <v>38.14</v>
      </c>
      <c r="P21" s="274">
        <f t="shared" si="6"/>
        <v>102.21520000000001</v>
      </c>
      <c r="Q21" s="291">
        <f t="shared" si="7"/>
        <v>3</v>
      </c>
      <c r="S21" s="194"/>
      <c r="V21" s="121">
        <f t="shared" si="0"/>
        <v>0.13450000000000001</v>
      </c>
      <c r="W21" s="194">
        <f t="shared" si="8"/>
        <v>2.5455000000000001</v>
      </c>
    </row>
    <row r="22" spans="2:23" s="121" customFormat="1" ht="12" x14ac:dyDescent="0.2">
      <c r="B22" s="120"/>
      <c r="C22" s="56" t="s">
        <v>118</v>
      </c>
      <c r="D22" s="56" t="s">
        <v>96</v>
      </c>
      <c r="E22" s="57" t="s">
        <v>155</v>
      </c>
      <c r="F22" s="58" t="s">
        <v>156</v>
      </c>
      <c r="G22" s="59" t="s">
        <v>150</v>
      </c>
      <c r="H22" s="60">
        <v>6.9</v>
      </c>
      <c r="I22" s="61">
        <v>257.77999999999997</v>
      </c>
      <c r="J22" s="60">
        <v>1778.7</v>
      </c>
      <c r="K22" s="68">
        <f t="shared" si="1"/>
        <v>-0.04</v>
      </c>
      <c r="L22" s="69">
        <f t="shared" si="2"/>
        <v>257.77999999999997</v>
      </c>
      <c r="M22" s="273">
        <f t="shared" si="3"/>
        <v>-10.311199999999999</v>
      </c>
      <c r="N22" s="71">
        <f t="shared" si="4"/>
        <v>6.86</v>
      </c>
      <c r="O22" s="72">
        <f t="shared" si="5"/>
        <v>257.77999999999997</v>
      </c>
      <c r="P22" s="274">
        <f t="shared" si="6"/>
        <v>1768.3707999999999</v>
      </c>
      <c r="Q22" s="291">
        <f t="shared" si="7"/>
        <v>7.69</v>
      </c>
      <c r="S22" s="194"/>
      <c r="V22" s="121">
        <f t="shared" si="0"/>
        <v>0.34500000000000003</v>
      </c>
      <c r="W22" s="194">
        <f t="shared" si="8"/>
        <v>6.5150000000000006</v>
      </c>
    </row>
    <row r="23" spans="2:23" s="121" customFormat="1" ht="12" x14ac:dyDescent="0.2">
      <c r="B23" s="120"/>
      <c r="C23" s="56" t="s">
        <v>121</v>
      </c>
      <c r="D23" s="56" t="s">
        <v>96</v>
      </c>
      <c r="E23" s="57" t="s">
        <v>157</v>
      </c>
      <c r="F23" s="58" t="s">
        <v>158</v>
      </c>
      <c r="G23" s="59" t="s">
        <v>150</v>
      </c>
      <c r="H23" s="60">
        <v>91.99</v>
      </c>
      <c r="I23" s="61">
        <v>257.77999999999997</v>
      </c>
      <c r="J23" s="60">
        <v>23713.200000000001</v>
      </c>
      <c r="K23" s="68">
        <f t="shared" si="1"/>
        <v>-0.51</v>
      </c>
      <c r="L23" s="69">
        <f t="shared" si="2"/>
        <v>257.77999999999997</v>
      </c>
      <c r="M23" s="273">
        <f t="shared" si="3"/>
        <v>-131.46779999999998</v>
      </c>
      <c r="N23" s="71">
        <f t="shared" si="4"/>
        <v>91.47999999999999</v>
      </c>
      <c r="O23" s="72">
        <f t="shared" si="5"/>
        <v>257.77999999999997</v>
      </c>
      <c r="P23" s="274">
        <f t="shared" si="6"/>
        <v>23581.714399999993</v>
      </c>
      <c r="Q23" s="291">
        <f t="shared" si="7"/>
        <v>102.46</v>
      </c>
      <c r="S23" s="194"/>
      <c r="V23" s="121">
        <f t="shared" si="0"/>
        <v>4.5994999999999999</v>
      </c>
      <c r="W23" s="194">
        <f t="shared" si="8"/>
        <v>86.880499999999984</v>
      </c>
    </row>
    <row r="24" spans="2:23" s="121" customFormat="1" ht="12" x14ac:dyDescent="0.2">
      <c r="B24" s="120"/>
      <c r="C24" s="56" t="s">
        <v>124</v>
      </c>
      <c r="D24" s="56" t="s">
        <v>96</v>
      </c>
      <c r="E24" s="57" t="s">
        <v>160</v>
      </c>
      <c r="F24" s="58" t="s">
        <v>161</v>
      </c>
      <c r="G24" s="59" t="s">
        <v>150</v>
      </c>
      <c r="H24" s="60">
        <v>27.6</v>
      </c>
      <c r="I24" s="61">
        <v>13.15</v>
      </c>
      <c r="J24" s="60">
        <v>362.9</v>
      </c>
      <c r="K24" s="68">
        <f t="shared" si="1"/>
        <v>-0.15</v>
      </c>
      <c r="L24" s="69">
        <f t="shared" si="2"/>
        <v>13.15</v>
      </c>
      <c r="M24" s="273">
        <f t="shared" si="3"/>
        <v>-1.9724999999999999</v>
      </c>
      <c r="N24" s="71">
        <f t="shared" si="4"/>
        <v>27.450000000000003</v>
      </c>
      <c r="O24" s="72">
        <f t="shared" si="5"/>
        <v>13.15</v>
      </c>
      <c r="P24" s="274">
        <f t="shared" si="6"/>
        <v>360.96750000000003</v>
      </c>
      <c r="Q24" s="291">
        <f t="shared" si="7"/>
        <v>30.74</v>
      </c>
      <c r="S24" s="194"/>
      <c r="V24" s="121">
        <f t="shared" si="0"/>
        <v>1.3800000000000001</v>
      </c>
      <c r="W24" s="194">
        <f t="shared" si="8"/>
        <v>26.070000000000004</v>
      </c>
    </row>
    <row r="25" spans="2:23" s="121" customFormat="1" ht="12" x14ac:dyDescent="0.2">
      <c r="B25" s="120"/>
      <c r="C25" s="56" t="s">
        <v>127</v>
      </c>
      <c r="D25" s="56" t="s">
        <v>96</v>
      </c>
      <c r="E25" s="57" t="s">
        <v>163</v>
      </c>
      <c r="F25" s="58" t="s">
        <v>164</v>
      </c>
      <c r="G25" s="59" t="s">
        <v>150</v>
      </c>
      <c r="H25" s="60">
        <v>46.45</v>
      </c>
      <c r="I25" s="61">
        <v>315.64999999999998</v>
      </c>
      <c r="J25" s="60">
        <v>14661.9</v>
      </c>
      <c r="K25" s="68">
        <f t="shared" si="1"/>
        <v>-0.26</v>
      </c>
      <c r="L25" s="69">
        <f t="shared" si="2"/>
        <v>315.64999999999998</v>
      </c>
      <c r="M25" s="273">
        <f t="shared" si="3"/>
        <v>-82.069000000000003</v>
      </c>
      <c r="N25" s="71">
        <f t="shared" si="4"/>
        <v>46.190000000000005</v>
      </c>
      <c r="O25" s="72">
        <f t="shared" si="5"/>
        <v>315.64999999999998</v>
      </c>
      <c r="P25" s="274">
        <f t="shared" si="6"/>
        <v>14579.8735</v>
      </c>
      <c r="Q25" s="291">
        <f t="shared" si="7"/>
        <v>51.74</v>
      </c>
      <c r="S25" s="194"/>
      <c r="V25" s="121">
        <f t="shared" si="0"/>
        <v>2.3225000000000002</v>
      </c>
      <c r="W25" s="194">
        <f t="shared" si="8"/>
        <v>43.867500000000007</v>
      </c>
    </row>
    <row r="26" spans="2:23" s="121" customFormat="1" ht="12" x14ac:dyDescent="0.2">
      <c r="B26" s="120"/>
      <c r="C26" s="56" t="s">
        <v>130</v>
      </c>
      <c r="D26" s="56" t="s">
        <v>96</v>
      </c>
      <c r="E26" s="57" t="s">
        <v>166</v>
      </c>
      <c r="F26" s="58" t="s">
        <v>167</v>
      </c>
      <c r="G26" s="59" t="s">
        <v>150</v>
      </c>
      <c r="H26" s="60">
        <v>13.94</v>
      </c>
      <c r="I26" s="61">
        <v>15.78</v>
      </c>
      <c r="J26" s="60">
        <v>220</v>
      </c>
      <c r="K26" s="68">
        <f t="shared" si="1"/>
        <v>-0.08</v>
      </c>
      <c r="L26" s="69">
        <f t="shared" si="2"/>
        <v>15.78</v>
      </c>
      <c r="M26" s="273">
        <f t="shared" si="3"/>
        <v>-1.2624</v>
      </c>
      <c r="N26" s="71">
        <f t="shared" si="4"/>
        <v>13.86</v>
      </c>
      <c r="O26" s="72">
        <f t="shared" si="5"/>
        <v>15.78</v>
      </c>
      <c r="P26" s="274">
        <f t="shared" si="6"/>
        <v>218.71079999999998</v>
      </c>
      <c r="Q26" s="291">
        <f t="shared" si="7"/>
        <v>15.53</v>
      </c>
      <c r="S26" s="194"/>
      <c r="V26" s="121">
        <f t="shared" si="0"/>
        <v>0.69700000000000006</v>
      </c>
      <c r="W26" s="194">
        <f t="shared" si="8"/>
        <v>13.163</v>
      </c>
    </row>
    <row r="27" spans="2:23" s="121" customFormat="1" ht="12" x14ac:dyDescent="0.2">
      <c r="B27" s="120"/>
      <c r="C27" s="56" t="s">
        <v>134</v>
      </c>
      <c r="D27" s="56" t="s">
        <v>96</v>
      </c>
      <c r="E27" s="57" t="s">
        <v>172</v>
      </c>
      <c r="F27" s="58" t="s">
        <v>173</v>
      </c>
      <c r="G27" s="59" t="s">
        <v>150</v>
      </c>
      <c r="H27" s="60">
        <v>14.87</v>
      </c>
      <c r="I27" s="61">
        <v>1116.6199999999999</v>
      </c>
      <c r="J27" s="60">
        <v>16604.099999999999</v>
      </c>
      <c r="K27" s="68">
        <f t="shared" si="1"/>
        <v>-0.08</v>
      </c>
      <c r="L27" s="69">
        <f t="shared" si="2"/>
        <v>1116.6199999999999</v>
      </c>
      <c r="M27" s="273">
        <f t="shared" si="3"/>
        <v>-89.329599999999999</v>
      </c>
      <c r="N27" s="71">
        <f t="shared" si="4"/>
        <v>14.79</v>
      </c>
      <c r="O27" s="72">
        <f t="shared" si="5"/>
        <v>1116.6199999999999</v>
      </c>
      <c r="P27" s="274">
        <f t="shared" si="6"/>
        <v>16514.809799999999</v>
      </c>
      <c r="Q27" s="291">
        <f t="shared" si="7"/>
        <v>16.559999999999999</v>
      </c>
      <c r="S27" s="194"/>
      <c r="V27" s="121">
        <f t="shared" si="0"/>
        <v>0.74350000000000005</v>
      </c>
      <c r="W27" s="194">
        <f t="shared" si="8"/>
        <v>14.046499999999998</v>
      </c>
    </row>
    <row r="28" spans="2:23" s="121" customFormat="1" ht="12" x14ac:dyDescent="0.2">
      <c r="B28" s="120"/>
      <c r="C28" s="56" t="s">
        <v>2</v>
      </c>
      <c r="D28" s="56" t="s">
        <v>96</v>
      </c>
      <c r="E28" s="57" t="s">
        <v>175</v>
      </c>
      <c r="F28" s="58" t="s">
        <v>176</v>
      </c>
      <c r="G28" s="59" t="s">
        <v>108</v>
      </c>
      <c r="H28" s="60">
        <v>270.43</v>
      </c>
      <c r="I28" s="61">
        <v>99.96</v>
      </c>
      <c r="J28" s="60">
        <v>27032.2</v>
      </c>
      <c r="K28" s="68">
        <f t="shared" si="1"/>
        <v>-1.5</v>
      </c>
      <c r="L28" s="69">
        <f t="shared" si="2"/>
        <v>99.96</v>
      </c>
      <c r="M28" s="273">
        <f t="shared" si="3"/>
        <v>-149.94</v>
      </c>
      <c r="N28" s="71">
        <f t="shared" si="4"/>
        <v>268.93</v>
      </c>
      <c r="O28" s="72">
        <f t="shared" si="5"/>
        <v>99.96</v>
      </c>
      <c r="P28" s="274">
        <f t="shared" si="6"/>
        <v>26882.2428</v>
      </c>
      <c r="Q28" s="291">
        <f t="shared" si="7"/>
        <v>301.2</v>
      </c>
      <c r="S28" s="194"/>
      <c r="V28" s="121">
        <f t="shared" si="0"/>
        <v>13.521500000000001</v>
      </c>
      <c r="W28" s="194">
        <f t="shared" si="8"/>
        <v>255.4085</v>
      </c>
    </row>
    <row r="29" spans="2:23" s="121" customFormat="1" ht="12" x14ac:dyDescent="0.2">
      <c r="B29" s="120"/>
      <c r="C29" s="56" t="s">
        <v>141</v>
      </c>
      <c r="D29" s="56" t="s">
        <v>96</v>
      </c>
      <c r="E29" s="57" t="s">
        <v>181</v>
      </c>
      <c r="F29" s="58" t="s">
        <v>182</v>
      </c>
      <c r="G29" s="59" t="s">
        <v>108</v>
      </c>
      <c r="H29" s="60">
        <v>270.43</v>
      </c>
      <c r="I29" s="61">
        <v>149.94</v>
      </c>
      <c r="J29" s="60">
        <v>40548.300000000003</v>
      </c>
      <c r="K29" s="68">
        <f t="shared" si="1"/>
        <v>-1.5</v>
      </c>
      <c r="L29" s="69">
        <f t="shared" si="2"/>
        <v>149.94</v>
      </c>
      <c r="M29" s="273">
        <f t="shared" si="3"/>
        <v>-224.91</v>
      </c>
      <c r="N29" s="71">
        <f t="shared" si="4"/>
        <v>268.93</v>
      </c>
      <c r="O29" s="72">
        <f t="shared" si="5"/>
        <v>149.94</v>
      </c>
      <c r="P29" s="274">
        <f t="shared" si="6"/>
        <v>40323.364200000004</v>
      </c>
      <c r="Q29" s="291">
        <f t="shared" si="7"/>
        <v>301.2</v>
      </c>
      <c r="S29" s="194"/>
      <c r="V29" s="121">
        <f t="shared" si="0"/>
        <v>13.521500000000001</v>
      </c>
      <c r="W29" s="194">
        <f t="shared" si="8"/>
        <v>255.4085</v>
      </c>
    </row>
    <row r="30" spans="2:23" s="121" customFormat="1" ht="12" x14ac:dyDescent="0.2">
      <c r="B30" s="120"/>
      <c r="C30" s="56" t="s">
        <v>144</v>
      </c>
      <c r="D30" s="56" t="s">
        <v>96</v>
      </c>
      <c r="E30" s="57" t="s">
        <v>187</v>
      </c>
      <c r="F30" s="58" t="s">
        <v>188</v>
      </c>
      <c r="G30" s="59" t="s">
        <v>150</v>
      </c>
      <c r="H30" s="60">
        <v>249.87</v>
      </c>
      <c r="I30" s="61">
        <v>97.51</v>
      </c>
      <c r="J30" s="60">
        <v>24364.799999999999</v>
      </c>
      <c r="K30" s="68">
        <f t="shared" si="1"/>
        <v>-1.39</v>
      </c>
      <c r="L30" s="69">
        <f t="shared" si="2"/>
        <v>97.51</v>
      </c>
      <c r="M30" s="273">
        <f t="shared" si="3"/>
        <v>-135.53889999999998</v>
      </c>
      <c r="N30" s="71">
        <f t="shared" si="4"/>
        <v>248.48000000000002</v>
      </c>
      <c r="O30" s="72">
        <f t="shared" si="5"/>
        <v>97.51</v>
      </c>
      <c r="P30" s="274">
        <f t="shared" si="6"/>
        <v>24229.284800000001</v>
      </c>
      <c r="Q30" s="291">
        <f t="shared" si="7"/>
        <v>278.3</v>
      </c>
      <c r="S30" s="194"/>
      <c r="V30" s="121">
        <f t="shared" si="0"/>
        <v>12.493500000000001</v>
      </c>
      <c r="W30" s="194">
        <f t="shared" si="8"/>
        <v>235.98650000000001</v>
      </c>
    </row>
    <row r="31" spans="2:23" s="121" customFormat="1" ht="12" x14ac:dyDescent="0.2">
      <c r="B31" s="120"/>
      <c r="C31" s="56" t="s">
        <v>147</v>
      </c>
      <c r="D31" s="56" t="s">
        <v>96</v>
      </c>
      <c r="E31" s="57" t="s">
        <v>190</v>
      </c>
      <c r="F31" s="58" t="s">
        <v>191</v>
      </c>
      <c r="G31" s="59" t="s">
        <v>150</v>
      </c>
      <c r="H31" s="60">
        <v>56.47</v>
      </c>
      <c r="I31" s="61">
        <v>247.39</v>
      </c>
      <c r="J31" s="60">
        <v>13970.1</v>
      </c>
      <c r="K31" s="68">
        <f t="shared" si="1"/>
        <v>-0.31</v>
      </c>
      <c r="L31" s="69">
        <f t="shared" si="2"/>
        <v>247.39</v>
      </c>
      <c r="M31" s="273">
        <f t="shared" si="3"/>
        <v>-76.690899999999999</v>
      </c>
      <c r="N31" s="71">
        <f t="shared" si="4"/>
        <v>56.16</v>
      </c>
      <c r="O31" s="72">
        <f t="shared" si="5"/>
        <v>247.39</v>
      </c>
      <c r="P31" s="274">
        <f t="shared" si="6"/>
        <v>13893.422399999998</v>
      </c>
      <c r="Q31" s="291">
        <f t="shared" si="7"/>
        <v>62.9</v>
      </c>
      <c r="S31" s="194"/>
      <c r="V31" s="121">
        <f t="shared" si="0"/>
        <v>2.8235000000000001</v>
      </c>
      <c r="W31" s="194">
        <f t="shared" si="8"/>
        <v>53.336499999999994</v>
      </c>
    </row>
    <row r="32" spans="2:23" s="121" customFormat="1" ht="12" x14ac:dyDescent="0.2">
      <c r="B32" s="120"/>
      <c r="C32" s="56" t="s">
        <v>151</v>
      </c>
      <c r="D32" s="56" t="s">
        <v>96</v>
      </c>
      <c r="E32" s="57" t="s">
        <v>193</v>
      </c>
      <c r="F32" s="58" t="s">
        <v>194</v>
      </c>
      <c r="G32" s="59" t="s">
        <v>150</v>
      </c>
      <c r="H32" s="60">
        <v>56.47</v>
      </c>
      <c r="I32" s="61">
        <v>44.72</v>
      </c>
      <c r="J32" s="60">
        <v>2525.3000000000002</v>
      </c>
      <c r="K32" s="68">
        <f t="shared" si="1"/>
        <v>-0.31</v>
      </c>
      <c r="L32" s="69">
        <f t="shared" si="2"/>
        <v>44.72</v>
      </c>
      <c r="M32" s="273">
        <f t="shared" si="3"/>
        <v>-13.863199999999999</v>
      </c>
      <c r="N32" s="71">
        <f t="shared" si="4"/>
        <v>56.16</v>
      </c>
      <c r="O32" s="72">
        <f t="shared" si="5"/>
        <v>44.72</v>
      </c>
      <c r="P32" s="274">
        <f t="shared" si="6"/>
        <v>2511.4751999999999</v>
      </c>
      <c r="Q32" s="291">
        <f t="shared" si="7"/>
        <v>62.9</v>
      </c>
      <c r="S32" s="194"/>
      <c r="V32" s="121">
        <f t="shared" si="0"/>
        <v>2.8235000000000001</v>
      </c>
      <c r="W32" s="194">
        <f t="shared" si="8"/>
        <v>53.336499999999994</v>
      </c>
    </row>
    <row r="33" spans="2:24" s="121" customFormat="1" ht="12" x14ac:dyDescent="0.2">
      <c r="B33" s="120"/>
      <c r="C33" s="56" t="s">
        <v>154</v>
      </c>
      <c r="D33" s="56" t="s">
        <v>96</v>
      </c>
      <c r="E33" s="57" t="s">
        <v>196</v>
      </c>
      <c r="F33" s="58" t="s">
        <v>197</v>
      </c>
      <c r="G33" s="59" t="s">
        <v>150</v>
      </c>
      <c r="H33" s="60">
        <v>56.47</v>
      </c>
      <c r="I33" s="61">
        <v>11.84</v>
      </c>
      <c r="J33" s="60">
        <v>668.6</v>
      </c>
      <c r="K33" s="68">
        <f t="shared" si="1"/>
        <v>-0.31</v>
      </c>
      <c r="L33" s="69">
        <f t="shared" si="2"/>
        <v>11.84</v>
      </c>
      <c r="M33" s="273">
        <f t="shared" si="3"/>
        <v>-3.6703999999999999</v>
      </c>
      <c r="N33" s="71">
        <f t="shared" si="4"/>
        <v>56.16</v>
      </c>
      <c r="O33" s="72">
        <f t="shared" si="5"/>
        <v>11.84</v>
      </c>
      <c r="P33" s="274">
        <f t="shared" si="6"/>
        <v>664.93439999999998</v>
      </c>
      <c r="Q33" s="291">
        <f t="shared" si="7"/>
        <v>62.9</v>
      </c>
      <c r="S33" s="194"/>
      <c r="V33" s="121">
        <f t="shared" si="0"/>
        <v>2.8235000000000001</v>
      </c>
      <c r="W33" s="194">
        <f t="shared" si="8"/>
        <v>53.336499999999994</v>
      </c>
    </row>
    <row r="34" spans="2:24" s="121" customFormat="1" ht="12" x14ac:dyDescent="0.2">
      <c r="B34" s="120"/>
      <c r="C34" s="56" t="s">
        <v>1</v>
      </c>
      <c r="D34" s="56" t="s">
        <v>96</v>
      </c>
      <c r="E34" s="57" t="s">
        <v>199</v>
      </c>
      <c r="F34" s="58" t="s">
        <v>200</v>
      </c>
      <c r="G34" s="59" t="s">
        <v>201</v>
      </c>
      <c r="H34" s="60">
        <v>112.94</v>
      </c>
      <c r="I34" s="61">
        <v>116</v>
      </c>
      <c r="J34" s="60">
        <v>13101</v>
      </c>
      <c r="K34" s="68">
        <f t="shared" si="1"/>
        <v>-0.63</v>
      </c>
      <c r="L34" s="69">
        <f t="shared" si="2"/>
        <v>116</v>
      </c>
      <c r="M34" s="273">
        <f t="shared" si="3"/>
        <v>-73.08</v>
      </c>
      <c r="N34" s="71">
        <f t="shared" si="4"/>
        <v>112.31</v>
      </c>
      <c r="O34" s="72">
        <f t="shared" si="5"/>
        <v>116</v>
      </c>
      <c r="P34" s="274">
        <f t="shared" si="6"/>
        <v>13027.960000000001</v>
      </c>
      <c r="Q34" s="291">
        <f t="shared" si="7"/>
        <v>125.79</v>
      </c>
      <c r="S34" s="194"/>
      <c r="V34" s="121">
        <f t="shared" si="0"/>
        <v>5.6470000000000002</v>
      </c>
      <c r="W34" s="194">
        <f t="shared" si="8"/>
        <v>106.663</v>
      </c>
    </row>
    <row r="35" spans="2:24" s="121" customFormat="1" ht="12" x14ac:dyDescent="0.2">
      <c r="B35" s="120"/>
      <c r="C35" s="56" t="s">
        <v>159</v>
      </c>
      <c r="D35" s="56" t="s">
        <v>96</v>
      </c>
      <c r="E35" s="57" t="s">
        <v>203</v>
      </c>
      <c r="F35" s="58" t="s">
        <v>204</v>
      </c>
      <c r="G35" s="59" t="s">
        <v>150</v>
      </c>
      <c r="H35" s="60">
        <v>96.56</v>
      </c>
      <c r="I35" s="61">
        <v>143.36000000000001</v>
      </c>
      <c r="J35" s="60">
        <v>13842.8</v>
      </c>
      <c r="K35" s="68">
        <f t="shared" si="1"/>
        <v>-0.54</v>
      </c>
      <c r="L35" s="69">
        <f t="shared" si="2"/>
        <v>143.36000000000001</v>
      </c>
      <c r="M35" s="273">
        <f t="shared" si="3"/>
        <v>-77.414400000000015</v>
      </c>
      <c r="N35" s="71">
        <f t="shared" si="4"/>
        <v>96.02</v>
      </c>
      <c r="O35" s="72">
        <f t="shared" si="5"/>
        <v>143.36000000000001</v>
      </c>
      <c r="P35" s="274">
        <f t="shared" si="6"/>
        <v>13765.4272</v>
      </c>
      <c r="Q35" s="291">
        <f t="shared" si="7"/>
        <v>107.55</v>
      </c>
      <c r="S35" s="194"/>
      <c r="V35" s="121">
        <f t="shared" si="0"/>
        <v>4.8280000000000003</v>
      </c>
      <c r="W35" s="194">
        <f t="shared" si="8"/>
        <v>91.191999999999993</v>
      </c>
    </row>
    <row r="36" spans="2:24" s="121" customFormat="1" ht="12" x14ac:dyDescent="0.2">
      <c r="B36" s="120"/>
      <c r="C36" s="56" t="s">
        <v>162</v>
      </c>
      <c r="D36" s="56" t="s">
        <v>96</v>
      </c>
      <c r="E36" s="57" t="s">
        <v>206</v>
      </c>
      <c r="F36" s="58" t="s">
        <v>207</v>
      </c>
      <c r="G36" s="59" t="s">
        <v>150</v>
      </c>
      <c r="H36" s="60">
        <v>33.64</v>
      </c>
      <c r="I36" s="61">
        <v>318.27999999999997</v>
      </c>
      <c r="J36" s="60">
        <v>10706.9</v>
      </c>
      <c r="K36" s="68">
        <f t="shared" si="1"/>
        <v>-0.19</v>
      </c>
      <c r="L36" s="69">
        <f t="shared" si="2"/>
        <v>318.27999999999997</v>
      </c>
      <c r="M36" s="273">
        <f t="shared" si="3"/>
        <v>-60.473199999999999</v>
      </c>
      <c r="N36" s="71">
        <f t="shared" si="4"/>
        <v>33.450000000000003</v>
      </c>
      <c r="O36" s="72">
        <f t="shared" si="5"/>
        <v>318.27999999999997</v>
      </c>
      <c r="P36" s="274">
        <f t="shared" si="6"/>
        <v>10646.466</v>
      </c>
      <c r="Q36" s="291">
        <f t="shared" si="7"/>
        <v>37.47</v>
      </c>
      <c r="S36" s="194"/>
      <c r="V36" s="121">
        <f t="shared" si="0"/>
        <v>1.6820000000000002</v>
      </c>
      <c r="W36" s="194">
        <f t="shared" si="8"/>
        <v>31.768000000000004</v>
      </c>
    </row>
    <row r="37" spans="2:24" s="121" customFormat="1" ht="12" x14ac:dyDescent="0.2">
      <c r="B37" s="120"/>
      <c r="C37" s="73" t="s">
        <v>165</v>
      </c>
      <c r="D37" s="73" t="s">
        <v>209</v>
      </c>
      <c r="E37" s="74" t="s">
        <v>210</v>
      </c>
      <c r="F37" s="75" t="s">
        <v>211</v>
      </c>
      <c r="G37" s="76" t="s">
        <v>201</v>
      </c>
      <c r="H37" s="77">
        <v>67.28</v>
      </c>
      <c r="I37" s="78">
        <v>172.71</v>
      </c>
      <c r="J37" s="77">
        <v>11619.9</v>
      </c>
      <c r="K37" s="68">
        <f t="shared" si="1"/>
        <v>-0.37</v>
      </c>
      <c r="L37" s="69">
        <f t="shared" si="2"/>
        <v>172.71</v>
      </c>
      <c r="M37" s="273">
        <f t="shared" si="3"/>
        <v>-63.902700000000003</v>
      </c>
      <c r="N37" s="71">
        <f t="shared" si="4"/>
        <v>66.91</v>
      </c>
      <c r="O37" s="72">
        <f t="shared" si="5"/>
        <v>172.71</v>
      </c>
      <c r="P37" s="274">
        <f t="shared" si="6"/>
        <v>11556.026099999999</v>
      </c>
      <c r="Q37" s="291">
        <f t="shared" si="7"/>
        <v>74.94</v>
      </c>
      <c r="S37" s="194"/>
      <c r="V37" s="121">
        <f t="shared" si="0"/>
        <v>3.3640000000000003</v>
      </c>
      <c r="W37" s="194">
        <f t="shared" si="8"/>
        <v>63.545999999999999</v>
      </c>
    </row>
    <row r="38" spans="2:24" s="121" customFormat="1" ht="12" x14ac:dyDescent="0.2">
      <c r="B38" s="120"/>
      <c r="C38" s="56" t="s">
        <v>168</v>
      </c>
      <c r="D38" s="56" t="s">
        <v>96</v>
      </c>
      <c r="E38" s="57" t="s">
        <v>213</v>
      </c>
      <c r="F38" s="58" t="s">
        <v>214</v>
      </c>
      <c r="G38" s="59" t="s">
        <v>108</v>
      </c>
      <c r="H38" s="60">
        <v>6.72</v>
      </c>
      <c r="I38" s="61">
        <v>53.92</v>
      </c>
      <c r="J38" s="60">
        <v>362.3</v>
      </c>
      <c r="K38" s="68">
        <f t="shared" si="1"/>
        <v>-0.04</v>
      </c>
      <c r="L38" s="69">
        <f t="shared" si="2"/>
        <v>53.92</v>
      </c>
      <c r="M38" s="273">
        <f t="shared" si="3"/>
        <v>-2.1568000000000001</v>
      </c>
      <c r="N38" s="71">
        <f t="shared" si="4"/>
        <v>6.68</v>
      </c>
      <c r="O38" s="72">
        <f t="shared" si="5"/>
        <v>53.92</v>
      </c>
      <c r="P38" s="274">
        <f t="shared" si="6"/>
        <v>360.18560000000002</v>
      </c>
      <c r="Q38" s="291">
        <f t="shared" si="7"/>
        <v>7.48</v>
      </c>
      <c r="S38" s="194"/>
      <c r="V38" s="121">
        <f t="shared" si="0"/>
        <v>0.33600000000000002</v>
      </c>
      <c r="W38" s="194">
        <f t="shared" si="8"/>
        <v>6.3439999999999994</v>
      </c>
    </row>
    <row r="39" spans="2:24" s="170" customFormat="1" ht="12.75" x14ac:dyDescent="0.2">
      <c r="B39" s="165"/>
      <c r="C39" s="252"/>
      <c r="D39" s="253" t="s">
        <v>4</v>
      </c>
      <c r="E39" s="254" t="s">
        <v>13</v>
      </c>
      <c r="F39" s="254" t="s">
        <v>222</v>
      </c>
      <c r="G39" s="252"/>
      <c r="H39" s="252"/>
      <c r="I39" s="255"/>
      <c r="J39" s="256">
        <f>+SUBTOTAL(9,J40:J41)</f>
        <v>2132.8000000000002</v>
      </c>
      <c r="K39" s="261"/>
      <c r="L39" s="262"/>
      <c r="M39" s="279">
        <f>SUM(M40:M41)</f>
        <v>-11.838000000000001</v>
      </c>
      <c r="N39" s="280"/>
      <c r="O39" s="262"/>
      <c r="P39" s="279">
        <f>SUM(P40:P41)</f>
        <v>2120.9750000000004</v>
      </c>
      <c r="Q39" s="291">
        <f t="shared" si="7"/>
        <v>0</v>
      </c>
      <c r="V39" s="121">
        <f t="shared" si="0"/>
        <v>0</v>
      </c>
      <c r="W39" s="194">
        <f t="shared" si="8"/>
        <v>0</v>
      </c>
    </row>
    <row r="40" spans="2:24" s="121" customFormat="1" ht="12" x14ac:dyDescent="0.2">
      <c r="B40" s="120"/>
      <c r="C40" s="56" t="s">
        <v>171</v>
      </c>
      <c r="D40" s="56" t="s">
        <v>96</v>
      </c>
      <c r="E40" s="57" t="s">
        <v>224</v>
      </c>
      <c r="F40" s="58" t="s">
        <v>225</v>
      </c>
      <c r="G40" s="59" t="s">
        <v>133</v>
      </c>
      <c r="H40" s="60">
        <v>54.05</v>
      </c>
      <c r="I40" s="61">
        <v>32.880000000000003</v>
      </c>
      <c r="J40" s="60">
        <v>1777.2</v>
      </c>
      <c r="K40" s="68">
        <f t="shared" si="1"/>
        <v>-0.3</v>
      </c>
      <c r="L40" s="69">
        <f t="shared" si="2"/>
        <v>32.880000000000003</v>
      </c>
      <c r="M40" s="273">
        <f t="shared" si="3"/>
        <v>-9.8640000000000008</v>
      </c>
      <c r="N40" s="71">
        <f t="shared" si="4"/>
        <v>53.75</v>
      </c>
      <c r="O40" s="72">
        <f t="shared" si="5"/>
        <v>32.880000000000003</v>
      </c>
      <c r="P40" s="274">
        <f t="shared" si="6"/>
        <v>1767.3000000000002</v>
      </c>
      <c r="Q40" s="291">
        <f t="shared" si="7"/>
        <v>60.2</v>
      </c>
      <c r="V40" s="121">
        <f t="shared" si="0"/>
        <v>2.7025000000000001</v>
      </c>
      <c r="W40" s="194">
        <f t="shared" si="8"/>
        <v>51.047499999999999</v>
      </c>
    </row>
    <row r="41" spans="2:24" s="121" customFormat="1" ht="12" x14ac:dyDescent="0.2">
      <c r="B41" s="120"/>
      <c r="C41" s="56" t="s">
        <v>174</v>
      </c>
      <c r="D41" s="56" t="s">
        <v>96</v>
      </c>
      <c r="E41" s="57" t="s">
        <v>227</v>
      </c>
      <c r="F41" s="58" t="s">
        <v>228</v>
      </c>
      <c r="G41" s="59" t="s">
        <v>133</v>
      </c>
      <c r="H41" s="60">
        <v>54.05</v>
      </c>
      <c r="I41" s="61">
        <v>6.58</v>
      </c>
      <c r="J41" s="60">
        <v>355.6</v>
      </c>
      <c r="K41" s="68">
        <f t="shared" si="1"/>
        <v>-0.3</v>
      </c>
      <c r="L41" s="69">
        <f t="shared" si="2"/>
        <v>6.58</v>
      </c>
      <c r="M41" s="273">
        <f t="shared" si="3"/>
        <v>-1.974</v>
      </c>
      <c r="N41" s="71">
        <f t="shared" si="4"/>
        <v>53.75</v>
      </c>
      <c r="O41" s="72">
        <f t="shared" si="5"/>
        <v>6.58</v>
      </c>
      <c r="P41" s="274">
        <f t="shared" si="6"/>
        <v>353.67500000000001</v>
      </c>
      <c r="Q41" s="291">
        <f t="shared" si="7"/>
        <v>60.2</v>
      </c>
      <c r="V41" s="121">
        <f t="shared" si="0"/>
        <v>2.7025000000000001</v>
      </c>
      <c r="W41" s="194">
        <f t="shared" si="8"/>
        <v>51.047499999999999</v>
      </c>
    </row>
    <row r="42" spans="2:24" s="170" customFormat="1" ht="12.75" x14ac:dyDescent="0.2">
      <c r="B42" s="165"/>
      <c r="C42" s="252"/>
      <c r="D42" s="253" t="s">
        <v>4</v>
      </c>
      <c r="E42" s="254" t="s">
        <v>100</v>
      </c>
      <c r="F42" s="254" t="s">
        <v>229</v>
      </c>
      <c r="G42" s="252"/>
      <c r="H42" s="252"/>
      <c r="I42" s="255"/>
      <c r="J42" s="256">
        <f>+SUBTOTAL(9,J43:J46)</f>
        <v>31679.1</v>
      </c>
      <c r="K42" s="261"/>
      <c r="L42" s="262"/>
      <c r="M42" s="279">
        <f>SUM(M43:M46)</f>
        <v>-161.958</v>
      </c>
      <c r="N42" s="280"/>
      <c r="O42" s="262"/>
      <c r="P42" s="279">
        <f>SUM(P43:P46)</f>
        <v>31517.103499999994</v>
      </c>
      <c r="Q42" s="291">
        <f t="shared" si="7"/>
        <v>0</v>
      </c>
      <c r="V42" s="121">
        <f t="shared" si="0"/>
        <v>0</v>
      </c>
      <c r="W42" s="194">
        <f t="shared" si="8"/>
        <v>0</v>
      </c>
    </row>
    <row r="43" spans="2:24" s="121" customFormat="1" ht="12" x14ac:dyDescent="0.2">
      <c r="B43" s="120"/>
      <c r="C43" s="56" t="s">
        <v>177</v>
      </c>
      <c r="D43" s="56" t="s">
        <v>96</v>
      </c>
      <c r="E43" s="57" t="s">
        <v>246</v>
      </c>
      <c r="F43" s="58" t="s">
        <v>247</v>
      </c>
      <c r="G43" s="59" t="s">
        <v>99</v>
      </c>
      <c r="H43" s="60">
        <v>1</v>
      </c>
      <c r="I43" s="61">
        <v>152.57</v>
      </c>
      <c r="J43" s="60">
        <v>152.6</v>
      </c>
      <c r="K43" s="68">
        <v>0</v>
      </c>
      <c r="L43" s="69">
        <f t="shared" si="2"/>
        <v>152.57</v>
      </c>
      <c r="M43" s="273">
        <f t="shared" si="3"/>
        <v>0</v>
      </c>
      <c r="N43" s="71">
        <f t="shared" si="4"/>
        <v>1</v>
      </c>
      <c r="O43" s="72">
        <f t="shared" si="5"/>
        <v>152.57</v>
      </c>
      <c r="P43" s="274">
        <f t="shared" si="6"/>
        <v>152.57</v>
      </c>
      <c r="Q43" s="291">
        <f t="shared" si="7"/>
        <v>1.1100000000000001</v>
      </c>
      <c r="V43" s="121">
        <f t="shared" si="0"/>
        <v>0.05</v>
      </c>
      <c r="W43" s="194">
        <f t="shared" si="8"/>
        <v>0.95</v>
      </c>
    </row>
    <row r="44" spans="2:24" s="121" customFormat="1" ht="12" x14ac:dyDescent="0.2">
      <c r="B44" s="120"/>
      <c r="C44" s="73" t="s">
        <v>180</v>
      </c>
      <c r="D44" s="73" t="s">
        <v>209</v>
      </c>
      <c r="E44" s="74" t="s">
        <v>249</v>
      </c>
      <c r="F44" s="75" t="s">
        <v>250</v>
      </c>
      <c r="G44" s="76" t="s">
        <v>99</v>
      </c>
      <c r="H44" s="77">
        <v>1</v>
      </c>
      <c r="I44" s="78">
        <v>395.88</v>
      </c>
      <c r="J44" s="77">
        <v>395.9</v>
      </c>
      <c r="K44" s="68">
        <v>0</v>
      </c>
      <c r="L44" s="69">
        <f t="shared" si="2"/>
        <v>395.88</v>
      </c>
      <c r="M44" s="273">
        <f t="shared" si="3"/>
        <v>0</v>
      </c>
      <c r="N44" s="71">
        <f t="shared" si="4"/>
        <v>1</v>
      </c>
      <c r="O44" s="72">
        <f t="shared" si="5"/>
        <v>395.88</v>
      </c>
      <c r="P44" s="274">
        <f t="shared" si="6"/>
        <v>395.88</v>
      </c>
      <c r="Q44" s="291">
        <f t="shared" si="7"/>
        <v>1.1100000000000001</v>
      </c>
      <c r="V44" s="121">
        <f t="shared" si="0"/>
        <v>0.05</v>
      </c>
      <c r="W44" s="194">
        <f t="shared" si="8"/>
        <v>0.95</v>
      </c>
    </row>
    <row r="45" spans="2:24" s="121" customFormat="1" ht="12" x14ac:dyDescent="0.2">
      <c r="B45" s="120"/>
      <c r="C45" s="56" t="s">
        <v>183</v>
      </c>
      <c r="D45" s="56" t="s">
        <v>96</v>
      </c>
      <c r="E45" s="57" t="s">
        <v>252</v>
      </c>
      <c r="F45" s="58" t="s">
        <v>253</v>
      </c>
      <c r="G45" s="59" t="s">
        <v>150</v>
      </c>
      <c r="H45" s="60">
        <v>9.0299999999999994</v>
      </c>
      <c r="I45" s="61">
        <v>3239.16</v>
      </c>
      <c r="J45" s="60">
        <v>29249.599999999999</v>
      </c>
      <c r="K45" s="68">
        <f t="shared" ref="K45:K46" si="9">ROUND(59.9/60.2*Q45-Q45,2)</f>
        <v>-0.05</v>
      </c>
      <c r="L45" s="69">
        <f t="shared" si="2"/>
        <v>3239.16</v>
      </c>
      <c r="M45" s="273">
        <f t="shared" si="3"/>
        <v>-161.958</v>
      </c>
      <c r="N45" s="71">
        <f t="shared" si="4"/>
        <v>8.9799999999999986</v>
      </c>
      <c r="O45" s="72">
        <f t="shared" si="5"/>
        <v>3239.16</v>
      </c>
      <c r="P45" s="274">
        <f t="shared" si="6"/>
        <v>29087.656799999993</v>
      </c>
      <c r="Q45" s="291">
        <f t="shared" si="7"/>
        <v>10.06</v>
      </c>
      <c r="R45" s="186" t="s">
        <v>1122</v>
      </c>
      <c r="S45" s="121" t="s">
        <v>1107</v>
      </c>
      <c r="V45" s="121">
        <f t="shared" si="0"/>
        <v>0.45150000000000001</v>
      </c>
      <c r="W45" s="194">
        <f t="shared" si="8"/>
        <v>8.5284999999999993</v>
      </c>
    </row>
    <row r="46" spans="2:24" s="121" customFormat="1" ht="12" x14ac:dyDescent="0.2">
      <c r="B46" s="120"/>
      <c r="C46" s="56" t="s">
        <v>186</v>
      </c>
      <c r="D46" s="56" t="s">
        <v>96</v>
      </c>
      <c r="E46" s="57" t="s">
        <v>255</v>
      </c>
      <c r="F46" s="58" t="s">
        <v>256</v>
      </c>
      <c r="G46" s="59" t="s">
        <v>150</v>
      </c>
      <c r="H46" s="60">
        <v>0.59</v>
      </c>
      <c r="I46" s="61">
        <v>3188.13</v>
      </c>
      <c r="J46" s="60">
        <v>1881</v>
      </c>
      <c r="K46" s="68">
        <f t="shared" si="9"/>
        <v>0</v>
      </c>
      <c r="L46" s="69">
        <f t="shared" si="2"/>
        <v>3188.13</v>
      </c>
      <c r="M46" s="273">
        <f t="shared" si="3"/>
        <v>0</v>
      </c>
      <c r="N46" s="71">
        <f t="shared" si="4"/>
        <v>0.59</v>
      </c>
      <c r="O46" s="72">
        <f t="shared" si="5"/>
        <v>3188.13</v>
      </c>
      <c r="P46" s="274">
        <f t="shared" si="6"/>
        <v>1880.9966999999999</v>
      </c>
      <c r="Q46" s="291">
        <f t="shared" si="7"/>
        <v>0.66</v>
      </c>
      <c r="R46" s="186" t="s">
        <v>1120</v>
      </c>
      <c r="S46" s="121" t="s">
        <v>1135</v>
      </c>
      <c r="V46" s="121">
        <f t="shared" si="0"/>
        <v>2.9499999999999998E-2</v>
      </c>
      <c r="W46" s="194">
        <f t="shared" si="8"/>
        <v>0.5605</v>
      </c>
      <c r="X46" s="186" t="s">
        <v>1167</v>
      </c>
    </row>
    <row r="47" spans="2:24" s="170" customFormat="1" ht="12.75" x14ac:dyDescent="0.2">
      <c r="B47" s="165"/>
      <c r="C47" s="252"/>
      <c r="D47" s="253" t="s">
        <v>4</v>
      </c>
      <c r="E47" s="254" t="s">
        <v>105</v>
      </c>
      <c r="F47" s="254" t="s">
        <v>257</v>
      </c>
      <c r="G47" s="252"/>
      <c r="H47" s="252"/>
      <c r="I47" s="255"/>
      <c r="J47" s="256">
        <f>+SUBTOTAL(9,J48:J52)</f>
        <v>26578.100000000002</v>
      </c>
      <c r="K47" s="261"/>
      <c r="L47" s="262"/>
      <c r="M47" s="279">
        <f>SUM(M48:M52)</f>
        <v>0</v>
      </c>
      <c r="N47" s="280"/>
      <c r="O47" s="262"/>
      <c r="P47" s="279">
        <f>SUM(P48:P52)</f>
        <v>26578.089999999997</v>
      </c>
      <c r="Q47" s="291">
        <f t="shared" si="7"/>
        <v>0</v>
      </c>
      <c r="V47" s="121">
        <f t="shared" ref="V47:V79" si="10">0.05*H47</f>
        <v>0</v>
      </c>
      <c r="W47" s="194">
        <f t="shared" si="8"/>
        <v>0</v>
      </c>
    </row>
    <row r="48" spans="2:24" s="121" customFormat="1" ht="12" x14ac:dyDescent="0.2">
      <c r="B48" s="120"/>
      <c r="C48" s="56" t="s">
        <v>189</v>
      </c>
      <c r="D48" s="56" t="s">
        <v>96</v>
      </c>
      <c r="E48" s="57" t="s">
        <v>259</v>
      </c>
      <c r="F48" s="58" t="s">
        <v>260</v>
      </c>
      <c r="G48" s="59" t="s">
        <v>108</v>
      </c>
      <c r="H48" s="60">
        <v>2.75</v>
      </c>
      <c r="I48" s="61">
        <v>155.66999999999999</v>
      </c>
      <c r="J48" s="60">
        <v>428.1</v>
      </c>
      <c r="K48" s="68">
        <v>0</v>
      </c>
      <c r="L48" s="69">
        <f t="shared" si="2"/>
        <v>155.66999999999999</v>
      </c>
      <c r="M48" s="273">
        <f t="shared" si="3"/>
        <v>0</v>
      </c>
      <c r="N48" s="71">
        <f t="shared" si="4"/>
        <v>2.75</v>
      </c>
      <c r="O48" s="72">
        <f t="shared" si="5"/>
        <v>155.66999999999999</v>
      </c>
      <c r="P48" s="274">
        <f t="shared" si="6"/>
        <v>428.09249999999997</v>
      </c>
      <c r="Q48" s="291">
        <f t="shared" si="7"/>
        <v>3.06</v>
      </c>
      <c r="V48" s="121">
        <f t="shared" si="10"/>
        <v>0.13750000000000001</v>
      </c>
      <c r="W48" s="194">
        <f t="shared" si="8"/>
        <v>2.6124999999999998</v>
      </c>
    </row>
    <row r="49" spans="2:23" s="121" customFormat="1" ht="12" x14ac:dyDescent="0.2">
      <c r="B49" s="120"/>
      <c r="C49" s="56" t="s">
        <v>192</v>
      </c>
      <c r="D49" s="56" t="s">
        <v>96</v>
      </c>
      <c r="E49" s="57" t="s">
        <v>262</v>
      </c>
      <c r="F49" s="58" t="s">
        <v>263</v>
      </c>
      <c r="G49" s="59" t="s">
        <v>108</v>
      </c>
      <c r="H49" s="60">
        <v>56.65</v>
      </c>
      <c r="I49" s="61">
        <v>302.54000000000002</v>
      </c>
      <c r="J49" s="60">
        <v>17138.900000000001</v>
      </c>
      <c r="K49" s="68">
        <v>0</v>
      </c>
      <c r="L49" s="69">
        <f t="shared" si="2"/>
        <v>302.54000000000002</v>
      </c>
      <c r="M49" s="273">
        <f t="shared" si="3"/>
        <v>0</v>
      </c>
      <c r="N49" s="71">
        <f t="shared" si="4"/>
        <v>56.65</v>
      </c>
      <c r="O49" s="72">
        <f t="shared" si="5"/>
        <v>302.54000000000002</v>
      </c>
      <c r="P49" s="274">
        <f t="shared" si="6"/>
        <v>17138.891</v>
      </c>
      <c r="Q49" s="291">
        <f t="shared" si="7"/>
        <v>63.1</v>
      </c>
      <c r="V49" s="121">
        <f t="shared" si="10"/>
        <v>2.8325</v>
      </c>
      <c r="W49" s="194">
        <f t="shared" si="8"/>
        <v>53.817499999999995</v>
      </c>
    </row>
    <row r="50" spans="2:23" s="121" customFormat="1" ht="12" x14ac:dyDescent="0.2">
      <c r="B50" s="120"/>
      <c r="C50" s="56" t="s">
        <v>195</v>
      </c>
      <c r="D50" s="56" t="s">
        <v>96</v>
      </c>
      <c r="E50" s="57" t="s">
        <v>265</v>
      </c>
      <c r="F50" s="58" t="s">
        <v>266</v>
      </c>
      <c r="G50" s="59" t="s">
        <v>108</v>
      </c>
      <c r="H50" s="60">
        <v>56.65</v>
      </c>
      <c r="I50" s="61">
        <v>86.36</v>
      </c>
      <c r="J50" s="60">
        <v>4892.3</v>
      </c>
      <c r="K50" s="68">
        <v>0</v>
      </c>
      <c r="L50" s="69">
        <f t="shared" si="2"/>
        <v>86.36</v>
      </c>
      <c r="M50" s="273">
        <f t="shared" si="3"/>
        <v>0</v>
      </c>
      <c r="N50" s="71">
        <f t="shared" si="4"/>
        <v>56.65</v>
      </c>
      <c r="O50" s="72">
        <f t="shared" si="5"/>
        <v>86.36</v>
      </c>
      <c r="P50" s="274">
        <f t="shared" si="6"/>
        <v>4892.2939999999999</v>
      </c>
      <c r="Q50" s="291">
        <f t="shared" si="7"/>
        <v>63.1</v>
      </c>
      <c r="V50" s="121">
        <f t="shared" si="10"/>
        <v>2.8325</v>
      </c>
      <c r="W50" s="194">
        <f t="shared" si="8"/>
        <v>53.817499999999995</v>
      </c>
    </row>
    <row r="51" spans="2:23" s="121" customFormat="1" ht="12" x14ac:dyDescent="0.2">
      <c r="B51" s="120"/>
      <c r="C51" s="56" t="s">
        <v>198</v>
      </c>
      <c r="D51" s="56" t="s">
        <v>96</v>
      </c>
      <c r="E51" s="57" t="s">
        <v>283</v>
      </c>
      <c r="F51" s="58" t="s">
        <v>284</v>
      </c>
      <c r="G51" s="59" t="s">
        <v>108</v>
      </c>
      <c r="H51" s="60">
        <v>2.75</v>
      </c>
      <c r="I51" s="61">
        <v>745.05</v>
      </c>
      <c r="J51" s="60">
        <v>2048.9</v>
      </c>
      <c r="K51" s="68">
        <v>0</v>
      </c>
      <c r="L51" s="69">
        <f t="shared" si="2"/>
        <v>745.05</v>
      </c>
      <c r="M51" s="273">
        <f t="shared" si="3"/>
        <v>0</v>
      </c>
      <c r="N51" s="71">
        <f t="shared" si="4"/>
        <v>2.75</v>
      </c>
      <c r="O51" s="72">
        <f t="shared" si="5"/>
        <v>745.05</v>
      </c>
      <c r="P51" s="274">
        <f t="shared" si="6"/>
        <v>2048.8874999999998</v>
      </c>
      <c r="Q51" s="291">
        <f t="shared" si="7"/>
        <v>3.06</v>
      </c>
      <c r="V51" s="121">
        <f t="shared" si="10"/>
        <v>0.13750000000000001</v>
      </c>
      <c r="W51" s="194">
        <f t="shared" si="8"/>
        <v>2.6124999999999998</v>
      </c>
    </row>
    <row r="52" spans="2:23" s="121" customFormat="1" ht="12" x14ac:dyDescent="0.2">
      <c r="B52" s="120"/>
      <c r="C52" s="73" t="s">
        <v>202</v>
      </c>
      <c r="D52" s="73" t="s">
        <v>209</v>
      </c>
      <c r="E52" s="74" t="s">
        <v>286</v>
      </c>
      <c r="F52" s="75" t="s">
        <v>287</v>
      </c>
      <c r="G52" s="76" t="s">
        <v>201</v>
      </c>
      <c r="H52" s="77">
        <v>0.55000000000000004</v>
      </c>
      <c r="I52" s="78">
        <v>3763.5</v>
      </c>
      <c r="J52" s="77">
        <v>2069.9</v>
      </c>
      <c r="K52" s="68">
        <v>0</v>
      </c>
      <c r="L52" s="69">
        <f t="shared" si="2"/>
        <v>3763.5</v>
      </c>
      <c r="M52" s="273">
        <f t="shared" si="3"/>
        <v>0</v>
      </c>
      <c r="N52" s="71">
        <f t="shared" si="4"/>
        <v>0.55000000000000004</v>
      </c>
      <c r="O52" s="72">
        <f t="shared" si="5"/>
        <v>3763.5</v>
      </c>
      <c r="P52" s="274">
        <f t="shared" si="6"/>
        <v>2069.9250000000002</v>
      </c>
      <c r="Q52" s="291">
        <f t="shared" si="7"/>
        <v>0.61</v>
      </c>
      <c r="V52" s="121">
        <f t="shared" si="10"/>
        <v>2.7500000000000004E-2</v>
      </c>
      <c r="W52" s="194">
        <f t="shared" si="8"/>
        <v>0.52250000000000008</v>
      </c>
    </row>
    <row r="53" spans="2:23" s="170" customFormat="1" ht="12.75" x14ac:dyDescent="0.2">
      <c r="B53" s="165"/>
      <c r="C53" s="252"/>
      <c r="D53" s="253" t="s">
        <v>4</v>
      </c>
      <c r="E53" s="254" t="s">
        <v>115</v>
      </c>
      <c r="F53" s="254" t="s">
        <v>288</v>
      </c>
      <c r="G53" s="252"/>
      <c r="H53" s="252"/>
      <c r="I53" s="255"/>
      <c r="J53" s="256">
        <f>+SUBTOTAL(9,J54:J71)</f>
        <v>224743.29999999996</v>
      </c>
      <c r="K53" s="261"/>
      <c r="L53" s="262"/>
      <c r="M53" s="279">
        <f>SUM(M54:M71)</f>
        <v>-503.30999999999995</v>
      </c>
      <c r="N53" s="280"/>
      <c r="O53" s="262"/>
      <c r="P53" s="279">
        <f>SUM(P54:P71)</f>
        <v>224239.92970000007</v>
      </c>
      <c r="Q53" s="291">
        <f t="shared" si="7"/>
        <v>0</v>
      </c>
      <c r="V53" s="121">
        <f t="shared" si="10"/>
        <v>0</v>
      </c>
      <c r="W53" s="194">
        <f t="shared" si="8"/>
        <v>0</v>
      </c>
    </row>
    <row r="54" spans="2:23" s="121" customFormat="1" ht="12" x14ac:dyDescent="0.2">
      <c r="B54" s="120"/>
      <c r="C54" s="56" t="s">
        <v>205</v>
      </c>
      <c r="D54" s="56" t="s">
        <v>96</v>
      </c>
      <c r="E54" s="57" t="s">
        <v>296</v>
      </c>
      <c r="F54" s="58" t="s">
        <v>297</v>
      </c>
      <c r="G54" s="59" t="s">
        <v>133</v>
      </c>
      <c r="H54" s="60">
        <v>54.05</v>
      </c>
      <c r="I54" s="61">
        <v>552.39</v>
      </c>
      <c r="J54" s="60">
        <v>29856.7</v>
      </c>
      <c r="K54" s="68">
        <f t="shared" ref="K54:K55" si="11">ROUND(59.9/60.2*Q54-Q54,2)</f>
        <v>-0.3</v>
      </c>
      <c r="L54" s="69">
        <f t="shared" si="2"/>
        <v>552.39</v>
      </c>
      <c r="M54" s="273">
        <f t="shared" si="3"/>
        <v>-165.71699999999998</v>
      </c>
      <c r="N54" s="71">
        <f t="shared" si="4"/>
        <v>53.75</v>
      </c>
      <c r="O54" s="72">
        <f t="shared" si="5"/>
        <v>552.39</v>
      </c>
      <c r="P54" s="274">
        <f t="shared" si="6"/>
        <v>29690.962499999998</v>
      </c>
      <c r="Q54" s="291">
        <f t="shared" si="7"/>
        <v>60.2</v>
      </c>
      <c r="V54" s="121">
        <f t="shared" si="10"/>
        <v>2.7025000000000001</v>
      </c>
      <c r="W54" s="194">
        <f t="shared" si="8"/>
        <v>51.047499999999999</v>
      </c>
    </row>
    <row r="55" spans="2:23" s="121" customFormat="1" ht="12" x14ac:dyDescent="0.2">
      <c r="B55" s="120"/>
      <c r="C55" s="73" t="s">
        <v>208</v>
      </c>
      <c r="D55" s="73" t="s">
        <v>209</v>
      </c>
      <c r="E55" s="74" t="s">
        <v>299</v>
      </c>
      <c r="F55" s="75" t="s">
        <v>300</v>
      </c>
      <c r="G55" s="76" t="s">
        <v>133</v>
      </c>
      <c r="H55" s="77">
        <v>54.05</v>
      </c>
      <c r="I55" s="78">
        <v>1060.07</v>
      </c>
      <c r="J55" s="77">
        <v>57296.800000000003</v>
      </c>
      <c r="K55" s="68">
        <f t="shared" si="11"/>
        <v>-0.3</v>
      </c>
      <c r="L55" s="69">
        <f t="shared" si="2"/>
        <v>1060.07</v>
      </c>
      <c r="M55" s="273">
        <f t="shared" si="3"/>
        <v>-318.02099999999996</v>
      </c>
      <c r="N55" s="71">
        <f t="shared" si="4"/>
        <v>53.75</v>
      </c>
      <c r="O55" s="72">
        <f t="shared" si="5"/>
        <v>1060.07</v>
      </c>
      <c r="P55" s="274">
        <f t="shared" si="6"/>
        <v>56978.762499999997</v>
      </c>
      <c r="Q55" s="291">
        <f t="shared" si="7"/>
        <v>60.2</v>
      </c>
      <c r="V55" s="121">
        <f t="shared" si="10"/>
        <v>2.7025000000000001</v>
      </c>
      <c r="W55" s="194">
        <f t="shared" si="8"/>
        <v>51.047499999999999</v>
      </c>
    </row>
    <row r="56" spans="2:23" s="121" customFormat="1" ht="12" x14ac:dyDescent="0.2">
      <c r="B56" s="120"/>
      <c r="C56" s="73" t="s">
        <v>212</v>
      </c>
      <c r="D56" s="73" t="s">
        <v>209</v>
      </c>
      <c r="E56" s="74" t="s">
        <v>302</v>
      </c>
      <c r="F56" s="75" t="s">
        <v>303</v>
      </c>
      <c r="G56" s="76" t="s">
        <v>99</v>
      </c>
      <c r="H56" s="77">
        <v>4</v>
      </c>
      <c r="I56" s="78">
        <v>739.15</v>
      </c>
      <c r="J56" s="77">
        <v>2956.6</v>
      </c>
      <c r="K56" s="68">
        <v>0</v>
      </c>
      <c r="L56" s="69">
        <f t="shared" si="2"/>
        <v>739.15</v>
      </c>
      <c r="M56" s="273">
        <f t="shared" si="3"/>
        <v>0</v>
      </c>
      <c r="N56" s="71">
        <f t="shared" si="4"/>
        <v>4</v>
      </c>
      <c r="O56" s="72">
        <f t="shared" si="5"/>
        <v>739.15</v>
      </c>
      <c r="P56" s="274">
        <f t="shared" si="6"/>
        <v>2956.6</v>
      </c>
      <c r="Q56" s="291">
        <f t="shared" si="7"/>
        <v>4.46</v>
      </c>
      <c r="V56" s="121">
        <f t="shared" si="10"/>
        <v>0.2</v>
      </c>
      <c r="W56" s="194">
        <f t="shared" si="8"/>
        <v>3.8</v>
      </c>
    </row>
    <row r="57" spans="2:23" s="121" customFormat="1" ht="12" x14ac:dyDescent="0.2">
      <c r="B57" s="120"/>
      <c r="C57" s="56" t="s">
        <v>215</v>
      </c>
      <c r="D57" s="56" t="s">
        <v>96</v>
      </c>
      <c r="E57" s="57" t="s">
        <v>329</v>
      </c>
      <c r="F57" s="58" t="s">
        <v>330</v>
      </c>
      <c r="G57" s="59" t="s">
        <v>99</v>
      </c>
      <c r="H57" s="60">
        <v>7</v>
      </c>
      <c r="I57" s="61">
        <v>219.64</v>
      </c>
      <c r="J57" s="60">
        <v>1537.5</v>
      </c>
      <c r="K57" s="68">
        <v>0</v>
      </c>
      <c r="L57" s="69">
        <f t="shared" si="2"/>
        <v>219.64</v>
      </c>
      <c r="M57" s="273">
        <f t="shared" si="3"/>
        <v>0</v>
      </c>
      <c r="N57" s="71">
        <f t="shared" si="4"/>
        <v>7</v>
      </c>
      <c r="O57" s="72">
        <f t="shared" si="5"/>
        <v>219.64</v>
      </c>
      <c r="P57" s="274">
        <f t="shared" si="6"/>
        <v>1537.48</v>
      </c>
      <c r="Q57" s="291">
        <f t="shared" si="7"/>
        <v>7.8</v>
      </c>
      <c r="V57" s="121">
        <f t="shared" si="10"/>
        <v>0.35000000000000003</v>
      </c>
      <c r="W57" s="194">
        <f t="shared" si="8"/>
        <v>6.65</v>
      </c>
    </row>
    <row r="58" spans="2:23" s="121" customFormat="1" ht="12" x14ac:dyDescent="0.2">
      <c r="B58" s="120"/>
      <c r="C58" s="73" t="s">
        <v>219</v>
      </c>
      <c r="D58" s="73" t="s">
        <v>209</v>
      </c>
      <c r="E58" s="74" t="s">
        <v>332</v>
      </c>
      <c r="F58" s="75" t="s">
        <v>333</v>
      </c>
      <c r="G58" s="76" t="s">
        <v>99</v>
      </c>
      <c r="H58" s="77">
        <v>3.05</v>
      </c>
      <c r="I58" s="78">
        <v>1129.77</v>
      </c>
      <c r="J58" s="77">
        <v>3445.8</v>
      </c>
      <c r="K58" s="68">
        <v>0</v>
      </c>
      <c r="L58" s="69">
        <f t="shared" si="2"/>
        <v>1129.77</v>
      </c>
      <c r="M58" s="273">
        <f t="shared" si="3"/>
        <v>0</v>
      </c>
      <c r="N58" s="71">
        <f t="shared" si="4"/>
        <v>3.05</v>
      </c>
      <c r="O58" s="72">
        <f t="shared" si="5"/>
        <v>1129.77</v>
      </c>
      <c r="P58" s="274">
        <f t="shared" si="6"/>
        <v>3445.7984999999999</v>
      </c>
      <c r="Q58" s="291">
        <f t="shared" si="7"/>
        <v>3.4</v>
      </c>
      <c r="V58" s="121">
        <f t="shared" si="10"/>
        <v>0.1525</v>
      </c>
      <c r="W58" s="194">
        <f t="shared" si="8"/>
        <v>2.8975</v>
      </c>
    </row>
    <row r="59" spans="2:23" s="121" customFormat="1" ht="12" x14ac:dyDescent="0.2">
      <c r="B59" s="120"/>
      <c r="C59" s="73" t="s">
        <v>223</v>
      </c>
      <c r="D59" s="73" t="s">
        <v>209</v>
      </c>
      <c r="E59" s="74" t="s">
        <v>335</v>
      </c>
      <c r="F59" s="75" t="s">
        <v>336</v>
      </c>
      <c r="G59" s="76" t="s">
        <v>99</v>
      </c>
      <c r="H59" s="77">
        <v>4.0599999999999996</v>
      </c>
      <c r="I59" s="78">
        <v>1129.77</v>
      </c>
      <c r="J59" s="77">
        <v>4586.8999999999996</v>
      </c>
      <c r="K59" s="68">
        <v>0</v>
      </c>
      <c r="L59" s="69">
        <f t="shared" si="2"/>
        <v>1129.77</v>
      </c>
      <c r="M59" s="273">
        <f t="shared" si="3"/>
        <v>0</v>
      </c>
      <c r="N59" s="71">
        <f t="shared" si="4"/>
        <v>4.0599999999999996</v>
      </c>
      <c r="O59" s="72">
        <f t="shared" si="5"/>
        <v>1129.77</v>
      </c>
      <c r="P59" s="274">
        <f t="shared" si="6"/>
        <v>4586.8661999999995</v>
      </c>
      <c r="Q59" s="291">
        <f t="shared" si="7"/>
        <v>4.5199999999999996</v>
      </c>
      <c r="V59" s="121">
        <f t="shared" si="10"/>
        <v>0.20299999999999999</v>
      </c>
      <c r="W59" s="194">
        <f t="shared" si="8"/>
        <v>3.8569999999999998</v>
      </c>
    </row>
    <row r="60" spans="2:23" s="121" customFormat="1" ht="33.75" x14ac:dyDescent="0.2">
      <c r="B60" s="120"/>
      <c r="C60" s="56" t="s">
        <v>226</v>
      </c>
      <c r="D60" s="56" t="s">
        <v>96</v>
      </c>
      <c r="E60" s="57" t="s">
        <v>347</v>
      </c>
      <c r="F60" s="58" t="s">
        <v>348</v>
      </c>
      <c r="G60" s="59" t="s">
        <v>133</v>
      </c>
      <c r="H60" s="60">
        <v>54.05</v>
      </c>
      <c r="I60" s="61">
        <v>56.03</v>
      </c>
      <c r="J60" s="60">
        <v>3028.4</v>
      </c>
      <c r="K60" s="68">
        <f t="shared" ref="K60" si="12">ROUND(59.9/60.2*Q60-Q60,2)</f>
        <v>-0.3</v>
      </c>
      <c r="L60" s="69">
        <f t="shared" si="2"/>
        <v>56.03</v>
      </c>
      <c r="M60" s="273">
        <f t="shared" si="3"/>
        <v>-16.809000000000001</v>
      </c>
      <c r="N60" s="71">
        <f t="shared" si="4"/>
        <v>53.75</v>
      </c>
      <c r="O60" s="72">
        <f t="shared" si="5"/>
        <v>56.03</v>
      </c>
      <c r="P60" s="274">
        <f t="shared" si="6"/>
        <v>3011.6125000000002</v>
      </c>
      <c r="Q60" s="291">
        <f t="shared" si="7"/>
        <v>60.2</v>
      </c>
      <c r="V60" s="121">
        <f t="shared" si="10"/>
        <v>2.7025000000000001</v>
      </c>
      <c r="W60" s="194">
        <f t="shared" si="8"/>
        <v>51.047499999999999</v>
      </c>
    </row>
    <row r="61" spans="2:23" s="121" customFormat="1" ht="12" x14ac:dyDescent="0.2">
      <c r="B61" s="120"/>
      <c r="C61" s="56" t="s">
        <v>230</v>
      </c>
      <c r="D61" s="56" t="s">
        <v>96</v>
      </c>
      <c r="E61" s="57" t="s">
        <v>350</v>
      </c>
      <c r="F61" s="58" t="s">
        <v>351</v>
      </c>
      <c r="G61" s="59" t="s">
        <v>99</v>
      </c>
      <c r="H61" s="60">
        <v>6</v>
      </c>
      <c r="I61" s="61">
        <v>808.86</v>
      </c>
      <c r="J61" s="60">
        <v>4853.2</v>
      </c>
      <c r="K61" s="68">
        <v>0</v>
      </c>
      <c r="L61" s="69">
        <f t="shared" si="2"/>
        <v>808.86</v>
      </c>
      <c r="M61" s="273">
        <f t="shared" si="3"/>
        <v>0</v>
      </c>
      <c r="N61" s="71">
        <f t="shared" si="4"/>
        <v>6</v>
      </c>
      <c r="O61" s="72">
        <f t="shared" si="5"/>
        <v>808.86</v>
      </c>
      <c r="P61" s="274">
        <f t="shared" si="6"/>
        <v>4853.16</v>
      </c>
      <c r="Q61" s="291">
        <f t="shared" si="7"/>
        <v>6.68</v>
      </c>
      <c r="V61" s="121">
        <f t="shared" si="10"/>
        <v>0.30000000000000004</v>
      </c>
      <c r="W61" s="194">
        <f t="shared" si="8"/>
        <v>5.7</v>
      </c>
    </row>
    <row r="62" spans="2:23" s="121" customFormat="1" ht="12" x14ac:dyDescent="0.2">
      <c r="B62" s="120"/>
      <c r="C62" s="73" t="s">
        <v>233</v>
      </c>
      <c r="D62" s="73" t="s">
        <v>209</v>
      </c>
      <c r="E62" s="74" t="s">
        <v>356</v>
      </c>
      <c r="F62" s="75" t="s">
        <v>357</v>
      </c>
      <c r="G62" s="76" t="s">
        <v>99</v>
      </c>
      <c r="H62" s="77">
        <v>3</v>
      </c>
      <c r="I62" s="78">
        <v>1202.1099999999999</v>
      </c>
      <c r="J62" s="77">
        <v>3606.3</v>
      </c>
      <c r="K62" s="68">
        <v>0</v>
      </c>
      <c r="L62" s="69">
        <f t="shared" si="2"/>
        <v>1202.1099999999999</v>
      </c>
      <c r="M62" s="273">
        <f t="shared" si="3"/>
        <v>0</v>
      </c>
      <c r="N62" s="71">
        <f t="shared" si="4"/>
        <v>3</v>
      </c>
      <c r="O62" s="72">
        <f t="shared" si="5"/>
        <v>1202.1099999999999</v>
      </c>
      <c r="P62" s="274">
        <f t="shared" si="6"/>
        <v>3606.33</v>
      </c>
      <c r="Q62" s="291">
        <f t="shared" si="7"/>
        <v>3.34</v>
      </c>
      <c r="V62" s="121">
        <f t="shared" si="10"/>
        <v>0.15000000000000002</v>
      </c>
      <c r="W62" s="194">
        <f t="shared" si="8"/>
        <v>2.85</v>
      </c>
    </row>
    <row r="63" spans="2:23" s="121" customFormat="1" ht="12" x14ac:dyDescent="0.2">
      <c r="B63" s="120"/>
      <c r="C63" s="73" t="s">
        <v>236</v>
      </c>
      <c r="D63" s="73" t="s">
        <v>209</v>
      </c>
      <c r="E63" s="74" t="s">
        <v>359</v>
      </c>
      <c r="F63" s="75" t="s">
        <v>360</v>
      </c>
      <c r="G63" s="76" t="s">
        <v>99</v>
      </c>
      <c r="H63" s="77">
        <v>3</v>
      </c>
      <c r="I63" s="78">
        <v>775.98</v>
      </c>
      <c r="J63" s="77">
        <v>2327.9</v>
      </c>
      <c r="K63" s="68">
        <v>0</v>
      </c>
      <c r="L63" s="69">
        <f t="shared" si="2"/>
        <v>775.98</v>
      </c>
      <c r="M63" s="273">
        <f t="shared" si="3"/>
        <v>0</v>
      </c>
      <c r="N63" s="71">
        <f t="shared" si="4"/>
        <v>3</v>
      </c>
      <c r="O63" s="72">
        <f t="shared" si="5"/>
        <v>775.98</v>
      </c>
      <c r="P63" s="274">
        <f t="shared" si="6"/>
        <v>2327.94</v>
      </c>
      <c r="Q63" s="291">
        <f t="shared" si="7"/>
        <v>3.34</v>
      </c>
      <c r="V63" s="121">
        <f t="shared" si="10"/>
        <v>0.15000000000000002</v>
      </c>
      <c r="W63" s="194">
        <f t="shared" si="8"/>
        <v>2.85</v>
      </c>
    </row>
    <row r="64" spans="2:23" s="121" customFormat="1" ht="12" x14ac:dyDescent="0.2">
      <c r="B64" s="120"/>
      <c r="C64" s="73" t="s">
        <v>239</v>
      </c>
      <c r="D64" s="73" t="s">
        <v>209</v>
      </c>
      <c r="E64" s="74" t="s">
        <v>362</v>
      </c>
      <c r="F64" s="75" t="s">
        <v>363</v>
      </c>
      <c r="G64" s="76" t="s">
        <v>99</v>
      </c>
      <c r="H64" s="77">
        <v>10</v>
      </c>
      <c r="I64" s="78">
        <v>211.75</v>
      </c>
      <c r="J64" s="77">
        <v>2117.5</v>
      </c>
      <c r="K64" s="68">
        <v>0</v>
      </c>
      <c r="L64" s="69">
        <f t="shared" si="2"/>
        <v>211.75</v>
      </c>
      <c r="M64" s="273">
        <f t="shared" si="3"/>
        <v>0</v>
      </c>
      <c r="N64" s="71">
        <f t="shared" si="4"/>
        <v>10</v>
      </c>
      <c r="O64" s="72">
        <f t="shared" si="5"/>
        <v>211.75</v>
      </c>
      <c r="P64" s="274">
        <f t="shared" si="6"/>
        <v>2117.5</v>
      </c>
      <c r="Q64" s="291">
        <f t="shared" si="7"/>
        <v>11.14</v>
      </c>
      <c r="V64" s="121">
        <f t="shared" si="10"/>
        <v>0.5</v>
      </c>
      <c r="W64" s="194">
        <f t="shared" si="8"/>
        <v>9.5</v>
      </c>
    </row>
    <row r="65" spans="2:23" s="121" customFormat="1" ht="12" x14ac:dyDescent="0.2">
      <c r="B65" s="120"/>
      <c r="C65" s="56" t="s">
        <v>242</v>
      </c>
      <c r="D65" s="56" t="s">
        <v>96</v>
      </c>
      <c r="E65" s="57" t="s">
        <v>365</v>
      </c>
      <c r="F65" s="58" t="s">
        <v>366</v>
      </c>
      <c r="G65" s="59" t="s">
        <v>99</v>
      </c>
      <c r="H65" s="60">
        <v>4</v>
      </c>
      <c r="I65" s="61">
        <v>808.86</v>
      </c>
      <c r="J65" s="60">
        <v>3235.4</v>
      </c>
      <c r="K65" s="68">
        <v>0</v>
      </c>
      <c r="L65" s="69">
        <f t="shared" si="2"/>
        <v>808.86</v>
      </c>
      <c r="M65" s="273">
        <f t="shared" si="3"/>
        <v>0</v>
      </c>
      <c r="N65" s="71">
        <f t="shared" si="4"/>
        <v>4</v>
      </c>
      <c r="O65" s="72">
        <f t="shared" si="5"/>
        <v>808.86</v>
      </c>
      <c r="P65" s="274">
        <f t="shared" si="6"/>
        <v>3235.44</v>
      </c>
      <c r="Q65" s="291">
        <f t="shared" si="7"/>
        <v>4.46</v>
      </c>
      <c r="V65" s="121">
        <f t="shared" si="10"/>
        <v>0.2</v>
      </c>
      <c r="W65" s="194">
        <f t="shared" si="8"/>
        <v>3.8</v>
      </c>
    </row>
    <row r="66" spans="2:23" s="121" customFormat="1" ht="12" x14ac:dyDescent="0.2">
      <c r="B66" s="120"/>
      <c r="C66" s="73" t="s">
        <v>245</v>
      </c>
      <c r="D66" s="73" t="s">
        <v>209</v>
      </c>
      <c r="E66" s="74" t="s">
        <v>368</v>
      </c>
      <c r="F66" s="75" t="s">
        <v>369</v>
      </c>
      <c r="G66" s="76" t="s">
        <v>99</v>
      </c>
      <c r="H66" s="77">
        <v>4</v>
      </c>
      <c r="I66" s="78">
        <v>1530.92</v>
      </c>
      <c r="J66" s="77">
        <v>6123.7</v>
      </c>
      <c r="K66" s="68">
        <v>0</v>
      </c>
      <c r="L66" s="69">
        <f t="shared" si="2"/>
        <v>1530.92</v>
      </c>
      <c r="M66" s="273">
        <f t="shared" si="3"/>
        <v>0</v>
      </c>
      <c r="N66" s="71">
        <f t="shared" si="4"/>
        <v>4</v>
      </c>
      <c r="O66" s="72">
        <f t="shared" si="5"/>
        <v>1530.92</v>
      </c>
      <c r="P66" s="274">
        <f t="shared" si="6"/>
        <v>6123.68</v>
      </c>
      <c r="Q66" s="291">
        <f t="shared" si="7"/>
        <v>4.46</v>
      </c>
      <c r="V66" s="121">
        <f t="shared" si="10"/>
        <v>0.2</v>
      </c>
      <c r="W66" s="194">
        <f t="shared" si="8"/>
        <v>3.8</v>
      </c>
    </row>
    <row r="67" spans="2:23" s="121" customFormat="1" ht="12" x14ac:dyDescent="0.2">
      <c r="B67" s="120"/>
      <c r="C67" s="56" t="s">
        <v>248</v>
      </c>
      <c r="D67" s="56" t="s">
        <v>96</v>
      </c>
      <c r="E67" s="57" t="s">
        <v>371</v>
      </c>
      <c r="F67" s="58" t="s">
        <v>372</v>
      </c>
      <c r="G67" s="59" t="s">
        <v>99</v>
      </c>
      <c r="H67" s="60">
        <v>4</v>
      </c>
      <c r="I67" s="61">
        <v>3234.12</v>
      </c>
      <c r="J67" s="60">
        <v>12936.5</v>
      </c>
      <c r="K67" s="68">
        <v>0</v>
      </c>
      <c r="L67" s="69">
        <f t="shared" si="2"/>
        <v>3234.12</v>
      </c>
      <c r="M67" s="273">
        <f t="shared" si="3"/>
        <v>0</v>
      </c>
      <c r="N67" s="71">
        <f t="shared" si="4"/>
        <v>4</v>
      </c>
      <c r="O67" s="72">
        <f t="shared" si="5"/>
        <v>3234.12</v>
      </c>
      <c r="P67" s="274">
        <f t="shared" si="6"/>
        <v>12936.48</v>
      </c>
      <c r="Q67" s="291">
        <f t="shared" si="7"/>
        <v>4.46</v>
      </c>
      <c r="V67" s="121">
        <f t="shared" si="10"/>
        <v>0.2</v>
      </c>
      <c r="W67" s="194">
        <f t="shared" si="8"/>
        <v>3.8</v>
      </c>
    </row>
    <row r="68" spans="2:23" s="121" customFormat="1" ht="12" x14ac:dyDescent="0.2">
      <c r="B68" s="120"/>
      <c r="C68" s="73" t="s">
        <v>251</v>
      </c>
      <c r="D68" s="73" t="s">
        <v>209</v>
      </c>
      <c r="E68" s="74" t="s">
        <v>374</v>
      </c>
      <c r="F68" s="75" t="s">
        <v>375</v>
      </c>
      <c r="G68" s="76" t="s">
        <v>99</v>
      </c>
      <c r="H68" s="77">
        <v>4</v>
      </c>
      <c r="I68" s="78">
        <v>14588.41</v>
      </c>
      <c r="J68" s="77">
        <v>58353.599999999999</v>
      </c>
      <c r="K68" s="68">
        <v>0</v>
      </c>
      <c r="L68" s="69">
        <f t="shared" si="2"/>
        <v>14588.41</v>
      </c>
      <c r="M68" s="273">
        <f t="shared" si="3"/>
        <v>0</v>
      </c>
      <c r="N68" s="71">
        <f t="shared" si="4"/>
        <v>4</v>
      </c>
      <c r="O68" s="72">
        <f t="shared" si="5"/>
        <v>14588.41</v>
      </c>
      <c r="P68" s="274">
        <f t="shared" si="6"/>
        <v>58353.64</v>
      </c>
      <c r="Q68" s="291">
        <f t="shared" si="7"/>
        <v>4.46</v>
      </c>
      <c r="V68" s="121">
        <f t="shared" si="10"/>
        <v>0.2</v>
      </c>
      <c r="W68" s="194">
        <f t="shared" si="8"/>
        <v>3.8</v>
      </c>
    </row>
    <row r="69" spans="2:23" s="121" customFormat="1" ht="12" x14ac:dyDescent="0.2">
      <c r="B69" s="120"/>
      <c r="C69" s="56" t="s">
        <v>254</v>
      </c>
      <c r="D69" s="56" t="s">
        <v>96</v>
      </c>
      <c r="E69" s="57" t="s">
        <v>377</v>
      </c>
      <c r="F69" s="58" t="s">
        <v>378</v>
      </c>
      <c r="G69" s="59" t="s">
        <v>99</v>
      </c>
      <c r="H69" s="60">
        <v>4</v>
      </c>
      <c r="I69" s="61">
        <v>485.32</v>
      </c>
      <c r="J69" s="60">
        <v>1941.3</v>
      </c>
      <c r="K69" s="68">
        <v>0</v>
      </c>
      <c r="L69" s="69">
        <f t="shared" si="2"/>
        <v>485.32</v>
      </c>
      <c r="M69" s="273">
        <f t="shared" si="3"/>
        <v>0</v>
      </c>
      <c r="N69" s="71">
        <f t="shared" si="4"/>
        <v>4</v>
      </c>
      <c r="O69" s="72">
        <f t="shared" si="5"/>
        <v>485.32</v>
      </c>
      <c r="P69" s="274">
        <f t="shared" si="6"/>
        <v>1941.28</v>
      </c>
      <c r="Q69" s="291">
        <f t="shared" si="7"/>
        <v>4.46</v>
      </c>
      <c r="V69" s="121">
        <f t="shared" si="10"/>
        <v>0.2</v>
      </c>
      <c r="W69" s="194">
        <f t="shared" si="8"/>
        <v>3.8</v>
      </c>
    </row>
    <row r="70" spans="2:23" s="121" customFormat="1" ht="12" x14ac:dyDescent="0.2">
      <c r="B70" s="120"/>
      <c r="C70" s="73" t="s">
        <v>258</v>
      </c>
      <c r="D70" s="73" t="s">
        <v>209</v>
      </c>
      <c r="E70" s="74" t="s">
        <v>380</v>
      </c>
      <c r="F70" s="75" t="s">
        <v>381</v>
      </c>
      <c r="G70" s="76" t="s">
        <v>99</v>
      </c>
      <c r="H70" s="77">
        <v>4</v>
      </c>
      <c r="I70" s="78">
        <v>6510.34</v>
      </c>
      <c r="J70" s="77">
        <v>26041.4</v>
      </c>
      <c r="K70" s="68">
        <v>0</v>
      </c>
      <c r="L70" s="69">
        <f t="shared" si="2"/>
        <v>6510.34</v>
      </c>
      <c r="M70" s="273">
        <f t="shared" si="3"/>
        <v>0</v>
      </c>
      <c r="N70" s="71">
        <f t="shared" si="4"/>
        <v>4</v>
      </c>
      <c r="O70" s="72">
        <f t="shared" si="5"/>
        <v>6510.34</v>
      </c>
      <c r="P70" s="274">
        <f t="shared" si="6"/>
        <v>26041.360000000001</v>
      </c>
      <c r="Q70" s="291">
        <f t="shared" si="7"/>
        <v>4.46</v>
      </c>
      <c r="V70" s="121">
        <f t="shared" si="10"/>
        <v>0.2</v>
      </c>
      <c r="W70" s="194">
        <f t="shared" si="8"/>
        <v>3.8</v>
      </c>
    </row>
    <row r="71" spans="2:23" s="121" customFormat="1" ht="12" x14ac:dyDescent="0.2">
      <c r="B71" s="120"/>
      <c r="C71" s="56" t="s">
        <v>261</v>
      </c>
      <c r="D71" s="56" t="s">
        <v>96</v>
      </c>
      <c r="E71" s="57" t="s">
        <v>383</v>
      </c>
      <c r="F71" s="58" t="s">
        <v>384</v>
      </c>
      <c r="G71" s="59" t="s">
        <v>133</v>
      </c>
      <c r="H71" s="60">
        <v>54.05</v>
      </c>
      <c r="I71" s="61">
        <v>9.2100000000000009</v>
      </c>
      <c r="J71" s="60">
        <v>497.8</v>
      </c>
      <c r="K71" s="68">
        <f t="shared" ref="K71" si="13">ROUND(59.9/60.2*Q71-Q71,2)</f>
        <v>-0.3</v>
      </c>
      <c r="L71" s="69">
        <f t="shared" si="2"/>
        <v>9.2100000000000009</v>
      </c>
      <c r="M71" s="273">
        <f t="shared" si="3"/>
        <v>-2.7630000000000003</v>
      </c>
      <c r="N71" s="71">
        <f t="shared" si="4"/>
        <v>53.75</v>
      </c>
      <c r="O71" s="72">
        <f t="shared" si="5"/>
        <v>9.2100000000000009</v>
      </c>
      <c r="P71" s="274">
        <f t="shared" si="6"/>
        <v>495.03750000000002</v>
      </c>
      <c r="Q71" s="291">
        <f t="shared" si="7"/>
        <v>60.2</v>
      </c>
      <c r="V71" s="121">
        <f t="shared" si="10"/>
        <v>2.7025000000000001</v>
      </c>
      <c r="W71" s="194">
        <f t="shared" si="8"/>
        <v>51.047499999999999</v>
      </c>
    </row>
    <row r="72" spans="2:23" s="170" customFormat="1" ht="12.75" x14ac:dyDescent="0.2">
      <c r="B72" s="165"/>
      <c r="C72" s="252"/>
      <c r="D72" s="253" t="s">
        <v>4</v>
      </c>
      <c r="E72" s="254" t="s">
        <v>118</v>
      </c>
      <c r="F72" s="254" t="s">
        <v>385</v>
      </c>
      <c r="G72" s="252"/>
      <c r="H72" s="252"/>
      <c r="I72" s="255"/>
      <c r="J72" s="256">
        <f>+SUBTOTAL(9,J73:J74)</f>
        <v>5613.4</v>
      </c>
      <c r="K72" s="261"/>
      <c r="L72" s="262"/>
      <c r="M72" s="279">
        <f>SUM(M73:M74)</f>
        <v>0</v>
      </c>
      <c r="N72" s="280"/>
      <c r="O72" s="262"/>
      <c r="P72" s="279">
        <f>SUM(P73:P74)</f>
        <v>5613.3600000000006</v>
      </c>
      <c r="Q72" s="291">
        <f t="shared" si="7"/>
        <v>0</v>
      </c>
      <c r="V72" s="121">
        <f t="shared" si="10"/>
        <v>0</v>
      </c>
      <c r="W72" s="194">
        <f t="shared" si="8"/>
        <v>0</v>
      </c>
    </row>
    <row r="73" spans="2:23" s="121" customFormat="1" ht="12" x14ac:dyDescent="0.2">
      <c r="B73" s="120"/>
      <c r="C73" s="56" t="s">
        <v>264</v>
      </c>
      <c r="D73" s="56" t="s">
        <v>96</v>
      </c>
      <c r="E73" s="57" t="s">
        <v>393</v>
      </c>
      <c r="F73" s="58" t="s">
        <v>394</v>
      </c>
      <c r="G73" s="59" t="s">
        <v>99</v>
      </c>
      <c r="H73" s="60">
        <v>1</v>
      </c>
      <c r="I73" s="61">
        <v>1148.19</v>
      </c>
      <c r="J73" s="60">
        <v>1148.2</v>
      </c>
      <c r="K73" s="68">
        <v>0</v>
      </c>
      <c r="L73" s="69">
        <f t="shared" si="2"/>
        <v>1148.19</v>
      </c>
      <c r="M73" s="273">
        <f t="shared" si="3"/>
        <v>0</v>
      </c>
      <c r="N73" s="71">
        <f t="shared" si="4"/>
        <v>1</v>
      </c>
      <c r="O73" s="72">
        <f t="shared" si="5"/>
        <v>1148.19</v>
      </c>
      <c r="P73" s="274">
        <f t="shared" si="6"/>
        <v>1148.19</v>
      </c>
      <c r="Q73" s="291">
        <f t="shared" si="7"/>
        <v>1.1100000000000001</v>
      </c>
      <c r="V73" s="121">
        <f t="shared" si="10"/>
        <v>0.05</v>
      </c>
      <c r="W73" s="194">
        <f t="shared" si="8"/>
        <v>0.95</v>
      </c>
    </row>
    <row r="74" spans="2:23" s="121" customFormat="1" ht="12" x14ac:dyDescent="0.2">
      <c r="B74" s="120"/>
      <c r="C74" s="56" t="s">
        <v>267</v>
      </c>
      <c r="D74" s="56" t="s">
        <v>96</v>
      </c>
      <c r="E74" s="57" t="s">
        <v>396</v>
      </c>
      <c r="F74" s="58" t="s">
        <v>397</v>
      </c>
      <c r="G74" s="59" t="s">
        <v>99</v>
      </c>
      <c r="H74" s="60">
        <v>1</v>
      </c>
      <c r="I74" s="61">
        <v>4465.17</v>
      </c>
      <c r="J74" s="60">
        <v>4465.2</v>
      </c>
      <c r="K74" s="68">
        <v>0</v>
      </c>
      <c r="L74" s="69">
        <f t="shared" si="2"/>
        <v>4465.17</v>
      </c>
      <c r="M74" s="273">
        <f t="shared" si="3"/>
        <v>0</v>
      </c>
      <c r="N74" s="71">
        <f t="shared" si="4"/>
        <v>1</v>
      </c>
      <c r="O74" s="72">
        <f t="shared" si="5"/>
        <v>4465.17</v>
      </c>
      <c r="P74" s="274">
        <f t="shared" si="6"/>
        <v>4465.17</v>
      </c>
      <c r="Q74" s="291">
        <f t="shared" si="7"/>
        <v>1.1100000000000001</v>
      </c>
      <c r="V74" s="121">
        <f t="shared" si="10"/>
        <v>0.05</v>
      </c>
      <c r="W74" s="194">
        <f t="shared" si="8"/>
        <v>0.95</v>
      </c>
    </row>
    <row r="75" spans="2:23" s="170" customFormat="1" ht="12.75" x14ac:dyDescent="0.2">
      <c r="B75" s="165"/>
      <c r="C75" s="252"/>
      <c r="D75" s="253" t="s">
        <v>4</v>
      </c>
      <c r="E75" s="254" t="s">
        <v>398</v>
      </c>
      <c r="F75" s="254" t="s">
        <v>399</v>
      </c>
      <c r="G75" s="252"/>
      <c r="H75" s="252"/>
      <c r="I75" s="255"/>
      <c r="J75" s="256">
        <f>+SUBTOTAL(9,J76:J77)</f>
        <v>14079.099999999999</v>
      </c>
      <c r="K75" s="261"/>
      <c r="L75" s="262"/>
      <c r="M75" s="279">
        <f>SUM(M76:M77)</f>
        <v>-77.516999999999996</v>
      </c>
      <c r="N75" s="280"/>
      <c r="O75" s="262"/>
      <c r="P75" s="279">
        <f>SUM(P76:P77)</f>
        <v>14001.5867</v>
      </c>
      <c r="Q75" s="291">
        <f t="shared" si="7"/>
        <v>0</v>
      </c>
      <c r="V75" s="121">
        <f t="shared" si="10"/>
        <v>0</v>
      </c>
      <c r="W75" s="194">
        <f t="shared" si="8"/>
        <v>0</v>
      </c>
    </row>
    <row r="76" spans="2:23" s="121" customFormat="1" ht="12" x14ac:dyDescent="0.2">
      <c r="B76" s="120"/>
      <c r="C76" s="56" t="s">
        <v>270</v>
      </c>
      <c r="D76" s="56" t="s">
        <v>96</v>
      </c>
      <c r="E76" s="57" t="s">
        <v>401</v>
      </c>
      <c r="F76" s="58" t="s">
        <v>402</v>
      </c>
      <c r="G76" s="59" t="s">
        <v>201</v>
      </c>
      <c r="H76" s="60">
        <v>59.93</v>
      </c>
      <c r="I76" s="61">
        <v>80.23</v>
      </c>
      <c r="J76" s="60">
        <v>4808.2</v>
      </c>
      <c r="K76" s="68">
        <f t="shared" ref="K76:K77" si="14">ROUND(59.9/60.2*Q76-Q76,2)</f>
        <v>-0.33</v>
      </c>
      <c r="L76" s="69">
        <f t="shared" si="2"/>
        <v>80.23</v>
      </c>
      <c r="M76" s="273">
        <f t="shared" si="3"/>
        <v>-26.475900000000003</v>
      </c>
      <c r="N76" s="71">
        <f t="shared" si="4"/>
        <v>59.6</v>
      </c>
      <c r="O76" s="72">
        <f t="shared" si="5"/>
        <v>80.23</v>
      </c>
      <c r="P76" s="274">
        <f t="shared" si="6"/>
        <v>4781.7080000000005</v>
      </c>
      <c r="Q76" s="291">
        <f t="shared" si="7"/>
        <v>66.75</v>
      </c>
      <c r="V76" s="121">
        <f t="shared" si="10"/>
        <v>2.9965000000000002</v>
      </c>
      <c r="W76" s="194">
        <f t="shared" si="8"/>
        <v>56.603500000000004</v>
      </c>
    </row>
    <row r="77" spans="2:23" s="121" customFormat="1" ht="12" x14ac:dyDescent="0.2">
      <c r="B77" s="120"/>
      <c r="C77" s="56" t="s">
        <v>273</v>
      </c>
      <c r="D77" s="56" t="s">
        <v>96</v>
      </c>
      <c r="E77" s="57" t="s">
        <v>410</v>
      </c>
      <c r="F77" s="58" t="s">
        <v>411</v>
      </c>
      <c r="G77" s="59" t="s">
        <v>201</v>
      </c>
      <c r="H77" s="60">
        <v>59.94</v>
      </c>
      <c r="I77" s="61">
        <v>154.66999999999999</v>
      </c>
      <c r="J77" s="60">
        <v>9270.9</v>
      </c>
      <c r="K77" s="68">
        <f t="shared" si="14"/>
        <v>-0.33</v>
      </c>
      <c r="L77" s="69">
        <f t="shared" si="2"/>
        <v>154.66999999999999</v>
      </c>
      <c r="M77" s="273">
        <f t="shared" si="3"/>
        <v>-51.0411</v>
      </c>
      <c r="N77" s="71">
        <f t="shared" si="4"/>
        <v>59.61</v>
      </c>
      <c r="O77" s="72">
        <f t="shared" si="5"/>
        <v>154.66999999999999</v>
      </c>
      <c r="P77" s="274">
        <f t="shared" si="6"/>
        <v>9219.8786999999993</v>
      </c>
      <c r="Q77" s="291">
        <f t="shared" si="7"/>
        <v>66.760000000000005</v>
      </c>
      <c r="V77" s="121">
        <f t="shared" si="10"/>
        <v>2.9969999999999999</v>
      </c>
      <c r="W77" s="194">
        <f t="shared" si="8"/>
        <v>56.613</v>
      </c>
    </row>
    <row r="78" spans="2:23" s="170" customFormat="1" ht="12.75" x14ac:dyDescent="0.2">
      <c r="B78" s="165"/>
      <c r="C78" s="252"/>
      <c r="D78" s="253" t="s">
        <v>4</v>
      </c>
      <c r="E78" s="254" t="s">
        <v>412</v>
      </c>
      <c r="F78" s="254" t="s">
        <v>413</v>
      </c>
      <c r="G78" s="252"/>
      <c r="H78" s="252"/>
      <c r="I78" s="255"/>
      <c r="J78" s="256">
        <f>+SUBTOTAL(9,J79)</f>
        <v>17248.8</v>
      </c>
      <c r="K78" s="261"/>
      <c r="L78" s="262"/>
      <c r="M78" s="279">
        <f>M79</f>
        <v>-96.112799999999993</v>
      </c>
      <c r="N78" s="280">
        <f t="shared" si="4"/>
        <v>0</v>
      </c>
      <c r="O78" s="262">
        <f t="shared" si="5"/>
        <v>0</v>
      </c>
      <c r="P78" s="279">
        <f>P79</f>
        <v>17152.7022</v>
      </c>
      <c r="Q78" s="291">
        <f t="shared" si="7"/>
        <v>0</v>
      </c>
      <c r="V78" s="121">
        <f t="shared" si="10"/>
        <v>0</v>
      </c>
      <c r="W78" s="194">
        <f t="shared" si="8"/>
        <v>0</v>
      </c>
    </row>
    <row r="79" spans="2:23" s="121" customFormat="1" ht="12" x14ac:dyDescent="0.2">
      <c r="B79" s="120"/>
      <c r="C79" s="56" t="s">
        <v>276</v>
      </c>
      <c r="D79" s="56" t="s">
        <v>96</v>
      </c>
      <c r="E79" s="57" t="s">
        <v>415</v>
      </c>
      <c r="F79" s="58" t="s">
        <v>416</v>
      </c>
      <c r="G79" s="59" t="s">
        <v>201</v>
      </c>
      <c r="H79" s="60">
        <v>150.75</v>
      </c>
      <c r="I79" s="61">
        <v>114.42</v>
      </c>
      <c r="J79" s="60">
        <v>17248.8</v>
      </c>
      <c r="K79" s="68">
        <f t="shared" ref="K79" si="15">ROUND(59.9/60.2*Q79-Q79,2)</f>
        <v>-0.84</v>
      </c>
      <c r="L79" s="69">
        <f t="shared" si="2"/>
        <v>114.42</v>
      </c>
      <c r="M79" s="273">
        <f t="shared" si="3"/>
        <v>-96.112799999999993</v>
      </c>
      <c r="N79" s="71">
        <f t="shared" si="4"/>
        <v>149.91</v>
      </c>
      <c r="O79" s="72">
        <f t="shared" si="5"/>
        <v>114.42</v>
      </c>
      <c r="P79" s="274">
        <f t="shared" si="6"/>
        <v>17152.7022</v>
      </c>
      <c r="Q79" s="291">
        <f t="shared" si="7"/>
        <v>167.9</v>
      </c>
      <c r="V79" s="121">
        <f t="shared" si="10"/>
        <v>7.5375000000000005</v>
      </c>
      <c r="W79" s="194">
        <f t="shared" si="8"/>
        <v>142.3725</v>
      </c>
    </row>
    <row r="80" spans="2:23" s="121" customFormat="1" x14ac:dyDescent="0.2">
      <c r="B80" s="120"/>
      <c r="C80" s="120"/>
      <c r="D80" s="120"/>
      <c r="E80" s="120"/>
      <c r="F80" s="120"/>
      <c r="G80" s="120"/>
      <c r="H80" s="120"/>
      <c r="I80" s="153"/>
      <c r="J80" s="120"/>
    </row>
    <row r="81" spans="4:17" ht="12.75" x14ac:dyDescent="0.2">
      <c r="D81" s="42"/>
      <c r="E81" s="43" t="s">
        <v>898</v>
      </c>
      <c r="F81" s="44"/>
      <c r="G81" s="44"/>
      <c r="H81" s="45"/>
      <c r="I81" s="44"/>
      <c r="J81" s="46">
        <f>ROUND(SUBTOTAL(9,J12:J79),2)</f>
        <v>544334.69999999995</v>
      </c>
      <c r="K81" s="49"/>
      <c r="L81" s="46"/>
      <c r="M81" s="281">
        <f>M78+M75+M72+M53+M47+M42+M39+M14</f>
        <v>-2083.1008999999999</v>
      </c>
      <c r="N81" s="49"/>
      <c r="O81" s="46"/>
      <c r="P81" s="281">
        <f>P78+P75+P72+P53+P47+P42+P39+P14</f>
        <v>542251.78059999994</v>
      </c>
      <c r="Q81" s="275"/>
    </row>
    <row r="82" spans="4:17" ht="12.75" x14ac:dyDescent="0.2">
      <c r="H82" s="50"/>
      <c r="I82" s="8"/>
      <c r="J82" s="9"/>
    </row>
    <row r="83" spans="4:17" ht="14.25" x14ac:dyDescent="0.2">
      <c r="E83" s="6" t="s">
        <v>849</v>
      </c>
      <c r="F83" s="6"/>
      <c r="G83" s="320" t="s">
        <v>1224</v>
      </c>
      <c r="H83" s="50"/>
      <c r="I83" s="8"/>
      <c r="J83" s="6"/>
      <c r="K83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79" xr:uid="{00000000-0001-0000-1700-000000000000}"/>
  <mergeCells count="2">
    <mergeCell ref="K9:M9"/>
    <mergeCell ref="N9:P9"/>
  </mergeCells>
  <conditionalFormatting sqref="G83:I83 L83:P83">
    <cfRule type="cellIs" dxfId="406" priority="4" operator="lessThan">
      <formula>0</formula>
    </cfRule>
  </conditionalFormatting>
  <conditionalFormatting sqref="G83:I83 L83:M83">
    <cfRule type="cellIs" dxfId="405" priority="3" operator="lessThan">
      <formula>0</formula>
    </cfRule>
  </conditionalFormatting>
  <conditionalFormatting sqref="G83:I83">
    <cfRule type="cellIs" dxfId="404" priority="2" operator="lessThan">
      <formula>0</formula>
    </cfRule>
  </conditionalFormatting>
  <conditionalFormatting sqref="G83:I83">
    <cfRule type="cellIs" dxfId="403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7" fitToHeight="0" orientation="landscape" r:id="rId1"/>
  <headerFooter>
    <oddFooter>&amp;CStrana &amp;P z &amp;N</oddFooter>
  </headerFooter>
  <rowBreaks count="1" manualBreakCount="1">
    <brk id="71" min="1" max="15" man="1"/>
  </row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pageSetUpPr fitToPage="1"/>
  </sheetPr>
  <dimension ref="B1:AG94"/>
  <sheetViews>
    <sheetView showGridLines="0" view="pageBreakPreview" topLeftCell="A48" zoomScale="85" zoomScaleNormal="85" zoomScaleSheetLayoutView="85" workbookViewId="0">
      <selection activeCell="L81" sqref="L81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6" style="8" customWidth="1"/>
    <col min="11" max="11" width="13.33203125" style="8" customWidth="1"/>
    <col min="12" max="12" width="25" style="8" customWidth="1"/>
    <col min="13" max="13" width="18.33203125" style="8" customWidth="1"/>
    <col min="14" max="14" width="13.1640625" style="8" customWidth="1"/>
    <col min="15" max="15" width="21.1640625" style="8" customWidth="1"/>
    <col min="16" max="16" width="20.5" style="8" customWidth="1"/>
    <col min="17" max="17" width="23.5" style="8" hidden="1" customWidth="1"/>
    <col min="18" max="18" width="18.6640625" style="8" hidden="1" customWidth="1"/>
    <col min="19" max="19" width="24.33203125" style="8" hidden="1" customWidth="1"/>
    <col min="20" max="20" width="25.33203125" style="8" hidden="1" customWidth="1"/>
    <col min="21" max="22" width="0" style="8" hidden="1" customWidth="1"/>
    <col min="23" max="23" width="27.33203125" style="8" hidden="1" customWidth="1"/>
    <col min="24" max="26" width="0" style="8" hidden="1" customWidth="1"/>
    <col min="27" max="27" width="23.6640625" style="8" hidden="1" customWidth="1"/>
    <col min="28" max="30" width="0" style="8" hidden="1" customWidth="1"/>
    <col min="31" max="31" width="21.1640625" style="8" hidden="1" customWidth="1"/>
    <col min="32" max="32" width="0" style="8" hidden="1" customWidth="1"/>
    <col min="33" max="33" width="18.33203125" style="8" customWidth="1"/>
    <col min="34" max="16384" width="9.33203125" style="8"/>
  </cols>
  <sheetData>
    <row r="1" spans="2:33" ht="15" x14ac:dyDescent="0.2">
      <c r="F1" s="11"/>
      <c r="G1" s="89"/>
      <c r="H1" s="88"/>
      <c r="I1" s="8"/>
      <c r="J1" s="9"/>
    </row>
    <row r="2" spans="2:33" s="88" customFormat="1" ht="15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</row>
    <row r="3" spans="2:33" s="88" customFormat="1" ht="15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33" s="13" customFormat="1" ht="15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33" s="13" customFormat="1" ht="15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33" s="13" customFormat="1" ht="15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33" s="13" customFormat="1" ht="15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33" s="14" customFormat="1" ht="12.75" x14ac:dyDescent="0.2">
      <c r="D8" s="146"/>
      <c r="F8" s="11"/>
      <c r="G8" s="105"/>
      <c r="H8" s="145"/>
      <c r="K8" s="149" t="s">
        <v>851</v>
      </c>
      <c r="L8" s="180" t="str">
        <f>+C12</f>
        <v>C2 - Stoka C2</v>
      </c>
      <c r="M8" s="180"/>
      <c r="O8" s="151"/>
    </row>
    <row r="9" spans="2:33" s="15" customFormat="1" ht="12.75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</row>
    <row r="10" spans="2:33" s="15" customFormat="1" ht="12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189" t="s">
        <v>1060</v>
      </c>
      <c r="S10" s="189" t="s">
        <v>1089</v>
      </c>
      <c r="T10" s="189" t="s">
        <v>1110</v>
      </c>
      <c r="W10" s="189" t="s">
        <v>1136</v>
      </c>
      <c r="AA10" s="15" t="s">
        <v>1146</v>
      </c>
      <c r="AE10" s="189" t="s">
        <v>1176</v>
      </c>
    </row>
    <row r="11" spans="2:33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33" s="121" customFormat="1" ht="15.75" x14ac:dyDescent="0.25">
      <c r="B12" s="120"/>
      <c r="C12" s="152" t="s">
        <v>495</v>
      </c>
      <c r="D12" s="120"/>
      <c r="E12" s="120"/>
      <c r="F12" s="120"/>
      <c r="G12" s="120"/>
      <c r="H12" s="120"/>
      <c r="I12" s="153"/>
      <c r="J12" s="154">
        <f>+SUBTOTAL(9,J13:J90)</f>
        <v>4331387.8999999985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33" s="170" customFormat="1" ht="15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+SUBTOTAL(9,J14:J90)</f>
        <v>4331387.8999999985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  <c r="AE13" s="345" t="s">
        <v>1184</v>
      </c>
    </row>
    <row r="14" spans="2:33" s="170" customFormat="1" ht="33.75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+SUBTOTAL(9,J15:J39)</f>
        <v>1951885.6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SUM(M15:M39)</f>
        <v>16328.326400000002</v>
      </c>
      <c r="N14" s="278" t="str">
        <f>IF(ISBLANK(H14),"",H14-K14)</f>
        <v/>
      </c>
      <c r="O14" s="272" t="str">
        <f>IF(ISBLANK(H14),"",J14-L14)</f>
        <v/>
      </c>
      <c r="P14" s="272">
        <f>SUM(P15:P39)</f>
        <v>1968213.9939000001</v>
      </c>
      <c r="AE14" s="345"/>
      <c r="AG14" s="218" t="s">
        <v>1216</v>
      </c>
    </row>
    <row r="15" spans="2:33" s="121" customFormat="1" ht="12" x14ac:dyDescent="0.2">
      <c r="B15" s="120"/>
      <c r="C15" s="56" t="s">
        <v>8</v>
      </c>
      <c r="D15" s="56" t="s">
        <v>96</v>
      </c>
      <c r="E15" s="57" t="s">
        <v>106</v>
      </c>
      <c r="F15" s="58" t="s">
        <v>107</v>
      </c>
      <c r="G15" s="59" t="s">
        <v>108</v>
      </c>
      <c r="H15" s="60">
        <v>94.05</v>
      </c>
      <c r="I15" s="61">
        <v>31.57</v>
      </c>
      <c r="J15" s="60">
        <v>2969.2</v>
      </c>
      <c r="K15" s="68">
        <f>ROUND(398.3/395*AG15-AG15,2)</f>
        <v>0.82</v>
      </c>
      <c r="L15" s="69">
        <f>I15</f>
        <v>31.57</v>
      </c>
      <c r="M15" s="273">
        <f>K15*L15</f>
        <v>25.8874</v>
      </c>
      <c r="N15" s="71">
        <f>H15+K15</f>
        <v>94.86999999999999</v>
      </c>
      <c r="O15" s="72">
        <f>I15</f>
        <v>31.57</v>
      </c>
      <c r="P15" s="274">
        <f>N15*O15</f>
        <v>2995.0458999999996</v>
      </c>
      <c r="Q15" s="121">
        <f t="shared" ref="Q15:Q39" si="0">0.6*H15</f>
        <v>56.43</v>
      </c>
      <c r="R15" s="194">
        <f>N15-Q15</f>
        <v>38.439999999999991</v>
      </c>
      <c r="AF15" s="194"/>
      <c r="AG15" s="121">
        <f>ROUND(395/376.74*H15,2)</f>
        <v>98.61</v>
      </c>
    </row>
    <row r="16" spans="2:33" s="121" customFormat="1" ht="12" x14ac:dyDescent="0.2">
      <c r="B16" s="120"/>
      <c r="C16" s="56" t="s">
        <v>13</v>
      </c>
      <c r="D16" s="56" t="s">
        <v>96</v>
      </c>
      <c r="E16" s="57" t="s">
        <v>110</v>
      </c>
      <c r="F16" s="58" t="s">
        <v>111</v>
      </c>
      <c r="G16" s="59" t="s">
        <v>108</v>
      </c>
      <c r="H16" s="60">
        <v>94.05</v>
      </c>
      <c r="I16" s="61">
        <v>23.67</v>
      </c>
      <c r="J16" s="60">
        <v>2226.1999999999998</v>
      </c>
      <c r="K16" s="68">
        <f t="shared" ref="K16:K42" si="1">ROUND(398.3/395*AG16-AG16,2)</f>
        <v>0.82</v>
      </c>
      <c r="L16" s="69">
        <f t="shared" ref="L16:L79" si="2">I16</f>
        <v>23.67</v>
      </c>
      <c r="M16" s="273">
        <f t="shared" ref="M16:M79" si="3">K16*L16</f>
        <v>19.409400000000002</v>
      </c>
      <c r="N16" s="71">
        <f t="shared" ref="N16:N79" si="4">H16+K16</f>
        <v>94.86999999999999</v>
      </c>
      <c r="O16" s="72">
        <f t="shared" ref="O16:O79" si="5">I16</f>
        <v>23.67</v>
      </c>
      <c r="P16" s="274">
        <f t="shared" ref="P16:P79" si="6">N16*O16</f>
        <v>2245.5729000000001</v>
      </c>
      <c r="Q16" s="121">
        <f t="shared" si="0"/>
        <v>56.43</v>
      </c>
      <c r="R16" s="194">
        <f t="shared" ref="R16:R39" si="7">N16-Q16</f>
        <v>38.439999999999991</v>
      </c>
      <c r="AF16" s="194"/>
      <c r="AG16" s="121">
        <f t="shared" ref="AG16:AG79" si="8">ROUND(395/376.74*H16,2)</f>
        <v>98.61</v>
      </c>
    </row>
    <row r="17" spans="2:33" s="121" customFormat="1" ht="12" x14ac:dyDescent="0.2">
      <c r="B17" s="120"/>
      <c r="C17" s="56" t="s">
        <v>100</v>
      </c>
      <c r="D17" s="56" t="s">
        <v>96</v>
      </c>
      <c r="E17" s="57" t="s">
        <v>113</v>
      </c>
      <c r="F17" s="58" t="s">
        <v>114</v>
      </c>
      <c r="G17" s="59" t="s">
        <v>108</v>
      </c>
      <c r="H17" s="60">
        <v>94.05</v>
      </c>
      <c r="I17" s="61">
        <v>26.3</v>
      </c>
      <c r="J17" s="60">
        <v>2473.5</v>
      </c>
      <c r="K17" s="68">
        <f t="shared" si="1"/>
        <v>0.82</v>
      </c>
      <c r="L17" s="69">
        <f t="shared" si="2"/>
        <v>26.3</v>
      </c>
      <c r="M17" s="273">
        <f t="shared" si="3"/>
        <v>21.565999999999999</v>
      </c>
      <c r="N17" s="71">
        <f t="shared" si="4"/>
        <v>94.86999999999999</v>
      </c>
      <c r="O17" s="72">
        <f t="shared" si="5"/>
        <v>26.3</v>
      </c>
      <c r="P17" s="274">
        <f t="shared" si="6"/>
        <v>2495.0809999999997</v>
      </c>
      <c r="Q17" s="121">
        <f t="shared" si="0"/>
        <v>56.43</v>
      </c>
      <c r="R17" s="194">
        <f t="shared" si="7"/>
        <v>38.439999999999991</v>
      </c>
      <c r="AF17" s="194"/>
      <c r="AG17" s="121">
        <f t="shared" si="8"/>
        <v>98.61</v>
      </c>
    </row>
    <row r="18" spans="2:33" s="121" customFormat="1" ht="12" x14ac:dyDescent="0.2">
      <c r="B18" s="120"/>
      <c r="C18" s="56" t="s">
        <v>105</v>
      </c>
      <c r="D18" s="56" t="s">
        <v>96</v>
      </c>
      <c r="E18" s="57" t="s">
        <v>116</v>
      </c>
      <c r="F18" s="58" t="s">
        <v>117</v>
      </c>
      <c r="G18" s="59" t="s">
        <v>108</v>
      </c>
      <c r="H18" s="60">
        <v>340.27</v>
      </c>
      <c r="I18" s="61">
        <v>40.770000000000003</v>
      </c>
      <c r="J18" s="60">
        <v>13872.8</v>
      </c>
      <c r="K18" s="68">
        <f t="shared" si="1"/>
        <v>2.98</v>
      </c>
      <c r="L18" s="69">
        <f t="shared" si="2"/>
        <v>40.770000000000003</v>
      </c>
      <c r="M18" s="273">
        <f t="shared" si="3"/>
        <v>121.49460000000001</v>
      </c>
      <c r="N18" s="71">
        <f t="shared" si="4"/>
        <v>343.25</v>
      </c>
      <c r="O18" s="72">
        <f t="shared" si="5"/>
        <v>40.770000000000003</v>
      </c>
      <c r="P18" s="274">
        <f t="shared" si="6"/>
        <v>13994.302500000002</v>
      </c>
      <c r="Q18" s="121">
        <f t="shared" si="0"/>
        <v>204.16199999999998</v>
      </c>
      <c r="R18" s="194">
        <f t="shared" si="7"/>
        <v>139.08800000000002</v>
      </c>
      <c r="AF18" s="194"/>
      <c r="AG18" s="121">
        <f t="shared" si="8"/>
        <v>356.76</v>
      </c>
    </row>
    <row r="19" spans="2:33" s="121" customFormat="1" ht="12" x14ac:dyDescent="0.2">
      <c r="B19" s="120"/>
      <c r="C19" s="56" t="s">
        <v>109</v>
      </c>
      <c r="D19" s="56" t="s">
        <v>96</v>
      </c>
      <c r="E19" s="57" t="s">
        <v>125</v>
      </c>
      <c r="F19" s="58" t="s">
        <v>126</v>
      </c>
      <c r="G19" s="59" t="s">
        <v>108</v>
      </c>
      <c r="H19" s="60">
        <v>649.61</v>
      </c>
      <c r="I19" s="61">
        <v>55.24</v>
      </c>
      <c r="J19" s="60">
        <v>35884.5</v>
      </c>
      <c r="K19" s="68">
        <v>0</v>
      </c>
      <c r="L19" s="69">
        <f t="shared" si="2"/>
        <v>55.24</v>
      </c>
      <c r="M19" s="273">
        <f t="shared" si="3"/>
        <v>0</v>
      </c>
      <c r="N19" s="71">
        <f t="shared" si="4"/>
        <v>649.61</v>
      </c>
      <c r="O19" s="72">
        <f t="shared" si="5"/>
        <v>55.24</v>
      </c>
      <c r="P19" s="274">
        <f t="shared" si="6"/>
        <v>35884.456400000003</v>
      </c>
      <c r="Q19" s="121">
        <f t="shared" si="0"/>
        <v>389.76600000000002</v>
      </c>
      <c r="R19" s="194">
        <f t="shared" si="7"/>
        <v>259.84399999999999</v>
      </c>
      <c r="AF19" s="194"/>
      <c r="AG19" s="121">
        <f t="shared" si="8"/>
        <v>681.1</v>
      </c>
    </row>
    <row r="20" spans="2:33" s="121" customFormat="1" ht="12" x14ac:dyDescent="0.2">
      <c r="B20" s="120"/>
      <c r="C20" s="56" t="s">
        <v>112</v>
      </c>
      <c r="D20" s="56" t="s">
        <v>96</v>
      </c>
      <c r="E20" s="57" t="s">
        <v>128</v>
      </c>
      <c r="F20" s="58" t="s">
        <v>129</v>
      </c>
      <c r="G20" s="59" t="s">
        <v>108</v>
      </c>
      <c r="H20" s="60">
        <v>340.27</v>
      </c>
      <c r="I20" s="61">
        <v>151.25</v>
      </c>
      <c r="J20" s="60">
        <v>51465.8</v>
      </c>
      <c r="K20" s="68">
        <v>0</v>
      </c>
      <c r="L20" s="69">
        <f t="shared" si="2"/>
        <v>151.25</v>
      </c>
      <c r="M20" s="273">
        <f t="shared" si="3"/>
        <v>0</v>
      </c>
      <c r="N20" s="71">
        <f t="shared" si="4"/>
        <v>340.27</v>
      </c>
      <c r="O20" s="72">
        <f t="shared" si="5"/>
        <v>151.25</v>
      </c>
      <c r="P20" s="274">
        <f t="shared" si="6"/>
        <v>51465.837499999994</v>
      </c>
      <c r="Q20" s="121">
        <f t="shared" si="0"/>
        <v>204.16199999999998</v>
      </c>
      <c r="R20" s="194">
        <f t="shared" si="7"/>
        <v>136.108</v>
      </c>
      <c r="AF20" s="194"/>
      <c r="AG20" s="121">
        <f t="shared" si="8"/>
        <v>356.76</v>
      </c>
    </row>
    <row r="21" spans="2:33" s="121" customFormat="1" ht="12" x14ac:dyDescent="0.2">
      <c r="B21" s="120"/>
      <c r="C21" s="56" t="s">
        <v>115</v>
      </c>
      <c r="D21" s="56" t="s">
        <v>96</v>
      </c>
      <c r="E21" s="57" t="s">
        <v>142</v>
      </c>
      <c r="F21" s="58" t="s">
        <v>143</v>
      </c>
      <c r="G21" s="59" t="s">
        <v>133</v>
      </c>
      <c r="H21" s="60">
        <v>23.1</v>
      </c>
      <c r="I21" s="61">
        <v>170.98</v>
      </c>
      <c r="J21" s="60">
        <v>3949.6</v>
      </c>
      <c r="K21" s="68">
        <f t="shared" si="1"/>
        <v>0.2</v>
      </c>
      <c r="L21" s="69">
        <f t="shared" si="2"/>
        <v>170.98</v>
      </c>
      <c r="M21" s="273">
        <f t="shared" si="3"/>
        <v>34.195999999999998</v>
      </c>
      <c r="N21" s="71">
        <f t="shared" si="4"/>
        <v>23.3</v>
      </c>
      <c r="O21" s="72">
        <f t="shared" si="5"/>
        <v>170.98</v>
      </c>
      <c r="P21" s="274">
        <f t="shared" si="6"/>
        <v>3983.8339999999998</v>
      </c>
      <c r="Q21" s="121">
        <f t="shared" si="0"/>
        <v>13.860000000000001</v>
      </c>
      <c r="R21" s="194">
        <f t="shared" si="7"/>
        <v>9.44</v>
      </c>
      <c r="AF21" s="194"/>
      <c r="AG21" s="121">
        <f t="shared" si="8"/>
        <v>24.22</v>
      </c>
    </row>
    <row r="22" spans="2:33" s="121" customFormat="1" ht="12" x14ac:dyDescent="0.2">
      <c r="B22" s="120"/>
      <c r="C22" s="56" t="s">
        <v>118</v>
      </c>
      <c r="D22" s="56" t="s">
        <v>96</v>
      </c>
      <c r="E22" s="57" t="s">
        <v>145</v>
      </c>
      <c r="F22" s="58" t="s">
        <v>146</v>
      </c>
      <c r="G22" s="59" t="s">
        <v>133</v>
      </c>
      <c r="H22" s="60">
        <v>25.3</v>
      </c>
      <c r="I22" s="61">
        <v>147.30000000000001</v>
      </c>
      <c r="J22" s="60">
        <v>3726.7</v>
      </c>
      <c r="K22" s="68">
        <f t="shared" si="1"/>
        <v>0.22</v>
      </c>
      <c r="L22" s="69">
        <f t="shared" si="2"/>
        <v>147.30000000000001</v>
      </c>
      <c r="M22" s="273">
        <f t="shared" si="3"/>
        <v>32.406000000000006</v>
      </c>
      <c r="N22" s="71">
        <f t="shared" si="4"/>
        <v>25.52</v>
      </c>
      <c r="O22" s="72">
        <f t="shared" si="5"/>
        <v>147.30000000000001</v>
      </c>
      <c r="P22" s="274">
        <f t="shared" si="6"/>
        <v>3759.096</v>
      </c>
      <c r="Q22" s="121">
        <f t="shared" si="0"/>
        <v>15.18</v>
      </c>
      <c r="R22" s="194">
        <f t="shared" si="7"/>
        <v>10.34</v>
      </c>
      <c r="AF22" s="194"/>
      <c r="AG22" s="121">
        <f t="shared" si="8"/>
        <v>26.53</v>
      </c>
    </row>
    <row r="23" spans="2:33" s="121" customFormat="1" ht="12" x14ac:dyDescent="0.2">
      <c r="B23" s="120"/>
      <c r="C23" s="56" t="s">
        <v>121</v>
      </c>
      <c r="D23" s="56" t="s">
        <v>96</v>
      </c>
      <c r="E23" s="57" t="s">
        <v>155</v>
      </c>
      <c r="F23" s="58" t="s">
        <v>156</v>
      </c>
      <c r="G23" s="59" t="s">
        <v>150</v>
      </c>
      <c r="H23" s="60">
        <v>129.08000000000001</v>
      </c>
      <c r="I23" s="61">
        <v>257.77999999999997</v>
      </c>
      <c r="J23" s="60">
        <v>33274.199999999997</v>
      </c>
      <c r="K23" s="68">
        <f t="shared" si="1"/>
        <v>1.1299999999999999</v>
      </c>
      <c r="L23" s="69">
        <f t="shared" si="2"/>
        <v>257.77999999999997</v>
      </c>
      <c r="M23" s="273">
        <f t="shared" si="3"/>
        <v>291.29139999999995</v>
      </c>
      <c r="N23" s="71">
        <f t="shared" si="4"/>
        <v>130.21</v>
      </c>
      <c r="O23" s="72">
        <f t="shared" si="5"/>
        <v>257.77999999999997</v>
      </c>
      <c r="P23" s="274">
        <f t="shared" si="6"/>
        <v>33565.533799999997</v>
      </c>
      <c r="Q23" s="121">
        <f t="shared" si="0"/>
        <v>77.448000000000008</v>
      </c>
      <c r="R23" s="194">
        <f t="shared" si="7"/>
        <v>52.762</v>
      </c>
      <c r="AF23" s="194"/>
      <c r="AG23" s="121">
        <f t="shared" si="8"/>
        <v>135.34</v>
      </c>
    </row>
    <row r="24" spans="2:33" s="121" customFormat="1" ht="12" x14ac:dyDescent="0.2">
      <c r="B24" s="120"/>
      <c r="C24" s="56" t="s">
        <v>124</v>
      </c>
      <c r="D24" s="56" t="s">
        <v>96</v>
      </c>
      <c r="E24" s="57" t="s">
        <v>157</v>
      </c>
      <c r="F24" s="58" t="s">
        <v>158</v>
      </c>
      <c r="G24" s="59" t="s">
        <v>150</v>
      </c>
      <c r="H24" s="60">
        <v>283.52999999999997</v>
      </c>
      <c r="I24" s="61">
        <v>257.77999999999997</v>
      </c>
      <c r="J24" s="60">
        <v>73088.399999999994</v>
      </c>
      <c r="K24" s="68">
        <f t="shared" si="1"/>
        <v>2.48</v>
      </c>
      <c r="L24" s="69">
        <f t="shared" si="2"/>
        <v>257.77999999999997</v>
      </c>
      <c r="M24" s="273">
        <f t="shared" si="3"/>
        <v>639.29439999999988</v>
      </c>
      <c r="N24" s="71">
        <f t="shared" si="4"/>
        <v>286.01</v>
      </c>
      <c r="O24" s="72">
        <f t="shared" si="5"/>
        <v>257.77999999999997</v>
      </c>
      <c r="P24" s="274">
        <f t="shared" si="6"/>
        <v>73727.657799999986</v>
      </c>
      <c r="Q24" s="121">
        <f t="shared" si="0"/>
        <v>170.11799999999997</v>
      </c>
      <c r="R24" s="194">
        <f t="shared" si="7"/>
        <v>115.89200000000002</v>
      </c>
      <c r="AF24" s="194"/>
      <c r="AG24" s="121">
        <f t="shared" si="8"/>
        <v>297.27</v>
      </c>
    </row>
    <row r="25" spans="2:33" s="121" customFormat="1" ht="12" x14ac:dyDescent="0.2">
      <c r="B25" s="120"/>
      <c r="C25" s="56" t="s">
        <v>127</v>
      </c>
      <c r="D25" s="56" t="s">
        <v>96</v>
      </c>
      <c r="E25" s="57" t="s">
        <v>160</v>
      </c>
      <c r="F25" s="58" t="s">
        <v>161</v>
      </c>
      <c r="G25" s="59" t="s">
        <v>150</v>
      </c>
      <c r="H25" s="60">
        <v>85.06</v>
      </c>
      <c r="I25" s="61">
        <v>13.15</v>
      </c>
      <c r="J25" s="60">
        <v>1118.5</v>
      </c>
      <c r="K25" s="68">
        <f t="shared" si="1"/>
        <v>0.75</v>
      </c>
      <c r="L25" s="69">
        <f t="shared" si="2"/>
        <v>13.15</v>
      </c>
      <c r="M25" s="273">
        <f t="shared" si="3"/>
        <v>9.8625000000000007</v>
      </c>
      <c r="N25" s="71">
        <f t="shared" si="4"/>
        <v>85.81</v>
      </c>
      <c r="O25" s="72">
        <f t="shared" si="5"/>
        <v>13.15</v>
      </c>
      <c r="P25" s="274">
        <f t="shared" si="6"/>
        <v>1128.4015000000002</v>
      </c>
      <c r="Q25" s="121">
        <f t="shared" si="0"/>
        <v>51.036000000000001</v>
      </c>
      <c r="R25" s="194">
        <f t="shared" si="7"/>
        <v>34.774000000000001</v>
      </c>
      <c r="AF25" s="194"/>
      <c r="AG25" s="121">
        <f t="shared" si="8"/>
        <v>89.18</v>
      </c>
    </row>
    <row r="26" spans="2:33" s="121" customFormat="1" ht="12" x14ac:dyDescent="0.2">
      <c r="B26" s="120"/>
      <c r="C26" s="56" t="s">
        <v>130</v>
      </c>
      <c r="D26" s="56" t="s">
        <v>96</v>
      </c>
      <c r="E26" s="57" t="s">
        <v>163</v>
      </c>
      <c r="F26" s="58" t="s">
        <v>164</v>
      </c>
      <c r="G26" s="59" t="s">
        <v>150</v>
      </c>
      <c r="H26" s="60">
        <v>337.9</v>
      </c>
      <c r="I26" s="61">
        <v>315.64999999999998</v>
      </c>
      <c r="J26" s="60">
        <v>106658.1</v>
      </c>
      <c r="K26" s="68">
        <f t="shared" si="1"/>
        <v>2.96</v>
      </c>
      <c r="L26" s="69">
        <f t="shared" si="2"/>
        <v>315.64999999999998</v>
      </c>
      <c r="M26" s="273">
        <f t="shared" si="3"/>
        <v>934.32399999999996</v>
      </c>
      <c r="N26" s="71">
        <f t="shared" si="4"/>
        <v>340.85999999999996</v>
      </c>
      <c r="O26" s="72">
        <f t="shared" si="5"/>
        <v>315.64999999999998</v>
      </c>
      <c r="P26" s="274">
        <f t="shared" si="6"/>
        <v>107592.45899999997</v>
      </c>
      <c r="Q26" s="121">
        <f t="shared" si="0"/>
        <v>202.73999999999998</v>
      </c>
      <c r="R26" s="194">
        <f t="shared" si="7"/>
        <v>138.11999999999998</v>
      </c>
      <c r="AF26" s="194"/>
      <c r="AG26" s="121">
        <f t="shared" si="8"/>
        <v>354.28</v>
      </c>
    </row>
    <row r="27" spans="2:33" s="121" customFormat="1" ht="12" x14ac:dyDescent="0.2">
      <c r="B27" s="120"/>
      <c r="C27" s="56" t="s">
        <v>134</v>
      </c>
      <c r="D27" s="56" t="s">
        <v>96</v>
      </c>
      <c r="E27" s="57" t="s">
        <v>166</v>
      </c>
      <c r="F27" s="58" t="s">
        <v>167</v>
      </c>
      <c r="G27" s="59" t="s">
        <v>150</v>
      </c>
      <c r="H27" s="60">
        <v>101.37</v>
      </c>
      <c r="I27" s="61">
        <v>15.78</v>
      </c>
      <c r="J27" s="60">
        <v>1599.6</v>
      </c>
      <c r="K27" s="68">
        <f t="shared" si="1"/>
        <v>0.89</v>
      </c>
      <c r="L27" s="69">
        <f t="shared" si="2"/>
        <v>15.78</v>
      </c>
      <c r="M27" s="273">
        <f t="shared" si="3"/>
        <v>14.0442</v>
      </c>
      <c r="N27" s="71">
        <f t="shared" si="4"/>
        <v>102.26</v>
      </c>
      <c r="O27" s="72">
        <f t="shared" si="5"/>
        <v>15.78</v>
      </c>
      <c r="P27" s="274">
        <f t="shared" si="6"/>
        <v>1613.6628000000001</v>
      </c>
      <c r="Q27" s="121">
        <f t="shared" si="0"/>
        <v>60.822000000000003</v>
      </c>
      <c r="R27" s="194">
        <f t="shared" si="7"/>
        <v>41.438000000000002</v>
      </c>
      <c r="AF27" s="194"/>
      <c r="AG27" s="121">
        <f t="shared" si="8"/>
        <v>106.28</v>
      </c>
    </row>
    <row r="28" spans="2:33" s="121" customFormat="1" ht="12" x14ac:dyDescent="0.2">
      <c r="B28" s="120"/>
      <c r="C28" s="56" t="s">
        <v>2</v>
      </c>
      <c r="D28" s="56" t="s">
        <v>96</v>
      </c>
      <c r="E28" s="57" t="s">
        <v>169</v>
      </c>
      <c r="F28" s="58" t="s">
        <v>170</v>
      </c>
      <c r="G28" s="59" t="s">
        <v>150</v>
      </c>
      <c r="H28" s="60">
        <v>26.65</v>
      </c>
      <c r="I28" s="61">
        <v>837.79</v>
      </c>
      <c r="J28" s="60">
        <v>22327.1</v>
      </c>
      <c r="K28" s="68">
        <f t="shared" si="1"/>
        <v>0.23</v>
      </c>
      <c r="L28" s="69">
        <f t="shared" si="2"/>
        <v>837.79</v>
      </c>
      <c r="M28" s="273">
        <f t="shared" si="3"/>
        <v>192.6917</v>
      </c>
      <c r="N28" s="71">
        <f t="shared" si="4"/>
        <v>26.88</v>
      </c>
      <c r="O28" s="72">
        <f t="shared" si="5"/>
        <v>837.79</v>
      </c>
      <c r="P28" s="274">
        <f t="shared" si="6"/>
        <v>22519.795199999997</v>
      </c>
      <c r="Q28" s="121">
        <f t="shared" si="0"/>
        <v>15.989999999999998</v>
      </c>
      <c r="R28" s="194">
        <f t="shared" si="7"/>
        <v>10.89</v>
      </c>
      <c r="AF28" s="194"/>
      <c r="AG28" s="121">
        <f t="shared" si="8"/>
        <v>27.94</v>
      </c>
    </row>
    <row r="29" spans="2:33" s="121" customFormat="1" ht="12" x14ac:dyDescent="0.2">
      <c r="B29" s="120"/>
      <c r="C29" s="56" t="s">
        <v>141</v>
      </c>
      <c r="D29" s="56" t="s">
        <v>96</v>
      </c>
      <c r="E29" s="57" t="s">
        <v>172</v>
      </c>
      <c r="F29" s="58" t="s">
        <v>173</v>
      </c>
      <c r="G29" s="59" t="s">
        <v>150</v>
      </c>
      <c r="H29" s="60">
        <v>417.84</v>
      </c>
      <c r="I29" s="61">
        <v>1116.6199999999999</v>
      </c>
      <c r="J29" s="60">
        <v>466568.5</v>
      </c>
      <c r="K29" s="68">
        <f t="shared" si="1"/>
        <v>3.66</v>
      </c>
      <c r="L29" s="69">
        <f t="shared" si="2"/>
        <v>1116.6199999999999</v>
      </c>
      <c r="M29" s="273">
        <f t="shared" si="3"/>
        <v>4086.8291999999997</v>
      </c>
      <c r="N29" s="71">
        <f t="shared" si="4"/>
        <v>421.5</v>
      </c>
      <c r="O29" s="72">
        <f t="shared" si="5"/>
        <v>1116.6199999999999</v>
      </c>
      <c r="P29" s="274">
        <f t="shared" si="6"/>
        <v>470655.32999999996</v>
      </c>
      <c r="Q29" s="121">
        <f t="shared" si="0"/>
        <v>250.70399999999998</v>
      </c>
      <c r="R29" s="194">
        <f t="shared" si="7"/>
        <v>170.79600000000002</v>
      </c>
      <c r="AF29" s="194"/>
      <c r="AG29" s="121">
        <f t="shared" si="8"/>
        <v>438.09</v>
      </c>
    </row>
    <row r="30" spans="2:33" s="121" customFormat="1" ht="12" x14ac:dyDescent="0.2">
      <c r="B30" s="120"/>
      <c r="C30" s="56" t="s">
        <v>144</v>
      </c>
      <c r="D30" s="56" t="s">
        <v>96</v>
      </c>
      <c r="E30" s="57" t="s">
        <v>175</v>
      </c>
      <c r="F30" s="58" t="s">
        <v>176</v>
      </c>
      <c r="G30" s="59" t="s">
        <v>108</v>
      </c>
      <c r="H30" s="60">
        <v>2074.08</v>
      </c>
      <c r="I30" s="61">
        <v>99.96</v>
      </c>
      <c r="J30" s="60">
        <v>207325</v>
      </c>
      <c r="K30" s="68">
        <f t="shared" si="1"/>
        <v>18.170000000000002</v>
      </c>
      <c r="L30" s="69">
        <f t="shared" si="2"/>
        <v>99.96</v>
      </c>
      <c r="M30" s="273">
        <f t="shared" si="3"/>
        <v>1816.2732000000001</v>
      </c>
      <c r="N30" s="71">
        <f t="shared" si="4"/>
        <v>2092.25</v>
      </c>
      <c r="O30" s="72">
        <f t="shared" si="5"/>
        <v>99.96</v>
      </c>
      <c r="P30" s="274">
        <f t="shared" si="6"/>
        <v>209141.31</v>
      </c>
      <c r="Q30" s="121">
        <f t="shared" si="0"/>
        <v>1244.4479999999999</v>
      </c>
      <c r="R30" s="194">
        <f t="shared" si="7"/>
        <v>847.80200000000013</v>
      </c>
      <c r="AF30" s="194"/>
      <c r="AG30" s="121">
        <f t="shared" si="8"/>
        <v>2174.61</v>
      </c>
    </row>
    <row r="31" spans="2:33" s="121" customFormat="1" ht="12" x14ac:dyDescent="0.2">
      <c r="B31" s="120"/>
      <c r="C31" s="56" t="s">
        <v>147</v>
      </c>
      <c r="D31" s="56" t="s">
        <v>96</v>
      </c>
      <c r="E31" s="57" t="s">
        <v>181</v>
      </c>
      <c r="F31" s="58" t="s">
        <v>182</v>
      </c>
      <c r="G31" s="59" t="s">
        <v>108</v>
      </c>
      <c r="H31" s="60">
        <v>2074.08</v>
      </c>
      <c r="I31" s="61">
        <v>149.94</v>
      </c>
      <c r="J31" s="60">
        <v>310987.59999999998</v>
      </c>
      <c r="K31" s="68">
        <f t="shared" si="1"/>
        <v>18.170000000000002</v>
      </c>
      <c r="L31" s="69">
        <f t="shared" si="2"/>
        <v>149.94</v>
      </c>
      <c r="M31" s="273">
        <f t="shared" si="3"/>
        <v>2724.4098000000004</v>
      </c>
      <c r="N31" s="71">
        <f t="shared" si="4"/>
        <v>2092.25</v>
      </c>
      <c r="O31" s="72">
        <f t="shared" si="5"/>
        <v>149.94</v>
      </c>
      <c r="P31" s="274">
        <f t="shared" si="6"/>
        <v>313711.96499999997</v>
      </c>
      <c r="Q31" s="121">
        <f t="shared" si="0"/>
        <v>1244.4479999999999</v>
      </c>
      <c r="R31" s="194">
        <f t="shared" si="7"/>
        <v>847.80200000000013</v>
      </c>
      <c r="AF31" s="194"/>
      <c r="AG31" s="121">
        <f t="shared" si="8"/>
        <v>2174.61</v>
      </c>
    </row>
    <row r="32" spans="2:33" s="121" customFormat="1" ht="12" x14ac:dyDescent="0.2">
      <c r="B32" s="120"/>
      <c r="C32" s="56" t="s">
        <v>151</v>
      </c>
      <c r="D32" s="56" t="s">
        <v>96</v>
      </c>
      <c r="E32" s="57" t="s">
        <v>187</v>
      </c>
      <c r="F32" s="58" t="s">
        <v>188</v>
      </c>
      <c r="G32" s="59" t="s">
        <v>150</v>
      </c>
      <c r="H32" s="60">
        <v>1786.16</v>
      </c>
      <c r="I32" s="61">
        <v>98.26</v>
      </c>
      <c r="J32" s="60">
        <v>175508.1</v>
      </c>
      <c r="K32" s="68">
        <f t="shared" si="1"/>
        <v>15.65</v>
      </c>
      <c r="L32" s="69">
        <f t="shared" si="2"/>
        <v>98.26</v>
      </c>
      <c r="M32" s="273">
        <f t="shared" si="3"/>
        <v>1537.769</v>
      </c>
      <c r="N32" s="71">
        <f t="shared" si="4"/>
        <v>1801.8100000000002</v>
      </c>
      <c r="O32" s="72">
        <f t="shared" si="5"/>
        <v>98.26</v>
      </c>
      <c r="P32" s="274">
        <f t="shared" si="6"/>
        <v>177045.85060000003</v>
      </c>
      <c r="Q32" s="121">
        <f t="shared" si="0"/>
        <v>1071.6959999999999</v>
      </c>
      <c r="R32" s="194">
        <f t="shared" si="7"/>
        <v>730.11400000000026</v>
      </c>
      <c r="AF32" s="194"/>
      <c r="AG32" s="121">
        <f t="shared" si="8"/>
        <v>1872.73</v>
      </c>
    </row>
    <row r="33" spans="2:33" s="121" customFormat="1" ht="12" x14ac:dyDescent="0.2">
      <c r="B33" s="120"/>
      <c r="C33" s="56" t="s">
        <v>154</v>
      </c>
      <c r="D33" s="56" t="s">
        <v>96</v>
      </c>
      <c r="E33" s="57" t="s">
        <v>190</v>
      </c>
      <c r="F33" s="58" t="s">
        <v>191</v>
      </c>
      <c r="G33" s="59" t="s">
        <v>150</v>
      </c>
      <c r="H33" s="60">
        <v>342.32</v>
      </c>
      <c r="I33" s="61">
        <v>247.39</v>
      </c>
      <c r="J33" s="60">
        <v>84686.5</v>
      </c>
      <c r="K33" s="68">
        <f t="shared" si="1"/>
        <v>3</v>
      </c>
      <c r="L33" s="69">
        <f t="shared" si="2"/>
        <v>247.39</v>
      </c>
      <c r="M33" s="273">
        <f t="shared" si="3"/>
        <v>742.17</v>
      </c>
      <c r="N33" s="71">
        <f t="shared" si="4"/>
        <v>345.32</v>
      </c>
      <c r="O33" s="72">
        <f t="shared" si="5"/>
        <v>247.39</v>
      </c>
      <c r="P33" s="274">
        <f t="shared" si="6"/>
        <v>85428.714799999987</v>
      </c>
      <c r="Q33" s="121">
        <f t="shared" si="0"/>
        <v>205.392</v>
      </c>
      <c r="R33" s="194">
        <f t="shared" si="7"/>
        <v>139.928</v>
      </c>
      <c r="AF33" s="194"/>
      <c r="AG33" s="121">
        <f t="shared" si="8"/>
        <v>358.91</v>
      </c>
    </row>
    <row r="34" spans="2:33" s="121" customFormat="1" ht="12" x14ac:dyDescent="0.2">
      <c r="B34" s="120"/>
      <c r="C34" s="56" t="s">
        <v>1</v>
      </c>
      <c r="D34" s="56" t="s">
        <v>96</v>
      </c>
      <c r="E34" s="57" t="s">
        <v>193</v>
      </c>
      <c r="F34" s="58" t="s">
        <v>194</v>
      </c>
      <c r="G34" s="59" t="s">
        <v>150</v>
      </c>
      <c r="H34" s="60">
        <v>342.32</v>
      </c>
      <c r="I34" s="61">
        <v>44.72</v>
      </c>
      <c r="J34" s="60">
        <v>15308.6</v>
      </c>
      <c r="K34" s="68">
        <f t="shared" si="1"/>
        <v>3</v>
      </c>
      <c r="L34" s="69">
        <f t="shared" si="2"/>
        <v>44.72</v>
      </c>
      <c r="M34" s="273">
        <f t="shared" si="3"/>
        <v>134.16</v>
      </c>
      <c r="N34" s="71">
        <f t="shared" si="4"/>
        <v>345.32</v>
      </c>
      <c r="O34" s="72">
        <f t="shared" si="5"/>
        <v>44.72</v>
      </c>
      <c r="P34" s="274">
        <f t="shared" si="6"/>
        <v>15442.7104</v>
      </c>
      <c r="Q34" s="121">
        <f t="shared" si="0"/>
        <v>205.392</v>
      </c>
      <c r="R34" s="194">
        <f t="shared" si="7"/>
        <v>139.928</v>
      </c>
      <c r="AF34" s="194"/>
      <c r="AG34" s="121">
        <f t="shared" si="8"/>
        <v>358.91</v>
      </c>
    </row>
    <row r="35" spans="2:33" s="121" customFormat="1" ht="12" x14ac:dyDescent="0.2">
      <c r="B35" s="120"/>
      <c r="C35" s="56" t="s">
        <v>159</v>
      </c>
      <c r="D35" s="56" t="s">
        <v>96</v>
      </c>
      <c r="E35" s="57" t="s">
        <v>196</v>
      </c>
      <c r="F35" s="58" t="s">
        <v>197</v>
      </c>
      <c r="G35" s="59" t="s">
        <v>150</v>
      </c>
      <c r="H35" s="60">
        <v>342.32</v>
      </c>
      <c r="I35" s="61">
        <v>11.84</v>
      </c>
      <c r="J35" s="60">
        <v>4053.1</v>
      </c>
      <c r="K35" s="68">
        <f t="shared" si="1"/>
        <v>3</v>
      </c>
      <c r="L35" s="69">
        <f t="shared" si="2"/>
        <v>11.84</v>
      </c>
      <c r="M35" s="273">
        <f t="shared" si="3"/>
        <v>35.519999999999996</v>
      </c>
      <c r="N35" s="71">
        <f t="shared" si="4"/>
        <v>345.32</v>
      </c>
      <c r="O35" s="72">
        <f t="shared" si="5"/>
        <v>11.84</v>
      </c>
      <c r="P35" s="274">
        <f t="shared" si="6"/>
        <v>4088.5888</v>
      </c>
      <c r="Q35" s="121">
        <f t="shared" si="0"/>
        <v>205.392</v>
      </c>
      <c r="R35" s="194">
        <f t="shared" si="7"/>
        <v>139.928</v>
      </c>
      <c r="AF35" s="194"/>
      <c r="AG35" s="121">
        <f t="shared" si="8"/>
        <v>358.91</v>
      </c>
    </row>
    <row r="36" spans="2:33" s="121" customFormat="1" ht="12" x14ac:dyDescent="0.2">
      <c r="B36" s="120"/>
      <c r="C36" s="56" t="s">
        <v>162</v>
      </c>
      <c r="D36" s="56" t="s">
        <v>96</v>
      </c>
      <c r="E36" s="57" t="s">
        <v>199</v>
      </c>
      <c r="F36" s="58" t="s">
        <v>200</v>
      </c>
      <c r="G36" s="59" t="s">
        <v>201</v>
      </c>
      <c r="H36" s="60">
        <v>684.64</v>
      </c>
      <c r="I36" s="61">
        <v>116</v>
      </c>
      <c r="J36" s="60">
        <v>79418.2</v>
      </c>
      <c r="K36" s="68">
        <f t="shared" si="1"/>
        <v>6</v>
      </c>
      <c r="L36" s="69">
        <f t="shared" si="2"/>
        <v>116</v>
      </c>
      <c r="M36" s="273">
        <f t="shared" si="3"/>
        <v>696</v>
      </c>
      <c r="N36" s="71">
        <f t="shared" si="4"/>
        <v>690.64</v>
      </c>
      <c r="O36" s="72">
        <f t="shared" si="5"/>
        <v>116</v>
      </c>
      <c r="P36" s="274">
        <f t="shared" si="6"/>
        <v>80114.240000000005</v>
      </c>
      <c r="Q36" s="121">
        <f t="shared" si="0"/>
        <v>410.78399999999999</v>
      </c>
      <c r="R36" s="194">
        <f t="shared" si="7"/>
        <v>279.85599999999999</v>
      </c>
      <c r="AF36" s="194"/>
      <c r="AG36" s="121">
        <f t="shared" si="8"/>
        <v>717.82</v>
      </c>
    </row>
    <row r="37" spans="2:33" s="121" customFormat="1" ht="12" x14ac:dyDescent="0.2">
      <c r="B37" s="120"/>
      <c r="C37" s="56" t="s">
        <v>165</v>
      </c>
      <c r="D37" s="56" t="s">
        <v>96</v>
      </c>
      <c r="E37" s="57" t="s">
        <v>203</v>
      </c>
      <c r="F37" s="58" t="s">
        <v>204</v>
      </c>
      <c r="G37" s="59" t="s">
        <v>150</v>
      </c>
      <c r="H37" s="60">
        <v>720.24</v>
      </c>
      <c r="I37" s="61">
        <v>143.36000000000001</v>
      </c>
      <c r="J37" s="60">
        <v>103253.6</v>
      </c>
      <c r="K37" s="68">
        <f t="shared" si="1"/>
        <v>6.31</v>
      </c>
      <c r="L37" s="69">
        <f t="shared" si="2"/>
        <v>143.36000000000001</v>
      </c>
      <c r="M37" s="273">
        <f t="shared" si="3"/>
        <v>904.60160000000008</v>
      </c>
      <c r="N37" s="71">
        <f t="shared" si="4"/>
        <v>726.55</v>
      </c>
      <c r="O37" s="72">
        <f t="shared" si="5"/>
        <v>143.36000000000001</v>
      </c>
      <c r="P37" s="274">
        <f t="shared" si="6"/>
        <v>104158.208</v>
      </c>
      <c r="Q37" s="121">
        <f t="shared" si="0"/>
        <v>432.14400000000001</v>
      </c>
      <c r="R37" s="194">
        <f t="shared" si="7"/>
        <v>294.40599999999995</v>
      </c>
      <c r="AF37" s="194"/>
      <c r="AG37" s="121">
        <f t="shared" si="8"/>
        <v>755.15</v>
      </c>
    </row>
    <row r="38" spans="2:33" s="121" customFormat="1" ht="12" x14ac:dyDescent="0.2">
      <c r="B38" s="120"/>
      <c r="C38" s="56" t="s">
        <v>168</v>
      </c>
      <c r="D38" s="56" t="s">
        <v>96</v>
      </c>
      <c r="E38" s="57" t="s">
        <v>206</v>
      </c>
      <c r="F38" s="58" t="s">
        <v>207</v>
      </c>
      <c r="G38" s="59" t="s">
        <v>150</v>
      </c>
      <c r="H38" s="60">
        <v>226.22</v>
      </c>
      <c r="I38" s="61">
        <v>318.27999999999997</v>
      </c>
      <c r="J38" s="60">
        <v>72001.3</v>
      </c>
      <c r="K38" s="68">
        <f t="shared" si="1"/>
        <v>1.98</v>
      </c>
      <c r="L38" s="69">
        <f t="shared" si="2"/>
        <v>318.27999999999997</v>
      </c>
      <c r="M38" s="273">
        <f t="shared" si="3"/>
        <v>630.19439999999997</v>
      </c>
      <c r="N38" s="71">
        <f t="shared" si="4"/>
        <v>228.2</v>
      </c>
      <c r="O38" s="72">
        <f t="shared" si="5"/>
        <v>318.27999999999997</v>
      </c>
      <c r="P38" s="274">
        <f t="shared" si="6"/>
        <v>72631.495999999985</v>
      </c>
      <c r="Q38" s="121">
        <f t="shared" si="0"/>
        <v>135.732</v>
      </c>
      <c r="R38" s="194">
        <f t="shared" si="7"/>
        <v>92.467999999999989</v>
      </c>
      <c r="AF38" s="194"/>
      <c r="AG38" s="121">
        <f t="shared" si="8"/>
        <v>237.18</v>
      </c>
    </row>
    <row r="39" spans="2:33" s="121" customFormat="1" ht="12" x14ac:dyDescent="0.2">
      <c r="B39" s="120"/>
      <c r="C39" s="73" t="s">
        <v>171</v>
      </c>
      <c r="D39" s="73" t="s">
        <v>209</v>
      </c>
      <c r="E39" s="74" t="s">
        <v>210</v>
      </c>
      <c r="F39" s="75" t="s">
        <v>211</v>
      </c>
      <c r="G39" s="76" t="s">
        <v>201</v>
      </c>
      <c r="H39" s="77">
        <v>452.44</v>
      </c>
      <c r="I39" s="78">
        <v>172.71</v>
      </c>
      <c r="J39" s="77">
        <v>78140.899999999994</v>
      </c>
      <c r="K39" s="68">
        <f t="shared" si="1"/>
        <v>3.96</v>
      </c>
      <c r="L39" s="69">
        <f t="shared" si="2"/>
        <v>172.71</v>
      </c>
      <c r="M39" s="273">
        <f t="shared" si="3"/>
        <v>683.9316</v>
      </c>
      <c r="N39" s="71">
        <f t="shared" si="4"/>
        <v>456.4</v>
      </c>
      <c r="O39" s="72">
        <f t="shared" si="5"/>
        <v>172.71</v>
      </c>
      <c r="P39" s="274">
        <f t="shared" si="6"/>
        <v>78824.843999999997</v>
      </c>
      <c r="Q39" s="121">
        <f t="shared" si="0"/>
        <v>271.464</v>
      </c>
      <c r="R39" s="194">
        <f t="shared" si="7"/>
        <v>184.93599999999998</v>
      </c>
      <c r="AF39" s="194"/>
      <c r="AG39" s="121">
        <f t="shared" si="8"/>
        <v>474.37</v>
      </c>
    </row>
    <row r="40" spans="2:33" s="170" customFormat="1" ht="12.75" x14ac:dyDescent="0.2">
      <c r="B40" s="165"/>
      <c r="C40" s="252"/>
      <c r="D40" s="253" t="s">
        <v>4</v>
      </c>
      <c r="E40" s="254" t="s">
        <v>13</v>
      </c>
      <c r="F40" s="254" t="s">
        <v>222</v>
      </c>
      <c r="G40" s="252"/>
      <c r="H40" s="252"/>
      <c r="I40" s="255"/>
      <c r="J40" s="256">
        <f>+SUBTOTAL(9,J41:J42)</f>
        <v>14866.1</v>
      </c>
      <c r="K40" s="261"/>
      <c r="L40" s="262"/>
      <c r="M40" s="279">
        <f>SUM(M41:M42)</f>
        <v>130.21800000000002</v>
      </c>
      <c r="N40" s="280"/>
      <c r="O40" s="262"/>
      <c r="P40" s="279">
        <f>SUM(P41:P42)</f>
        <v>14996.378400000001</v>
      </c>
      <c r="AE40" s="121"/>
      <c r="AF40" s="194"/>
      <c r="AG40" s="121">
        <f t="shared" si="8"/>
        <v>0</v>
      </c>
    </row>
    <row r="41" spans="2:33" s="121" customFormat="1" ht="12" x14ac:dyDescent="0.2">
      <c r="B41" s="120"/>
      <c r="C41" s="56" t="s">
        <v>174</v>
      </c>
      <c r="D41" s="56" t="s">
        <v>96</v>
      </c>
      <c r="E41" s="57" t="s">
        <v>224</v>
      </c>
      <c r="F41" s="58" t="s">
        <v>225</v>
      </c>
      <c r="G41" s="59" t="s">
        <v>133</v>
      </c>
      <c r="H41" s="60">
        <v>376.74</v>
      </c>
      <c r="I41" s="61">
        <v>32.880000000000003</v>
      </c>
      <c r="J41" s="60">
        <v>12387.2</v>
      </c>
      <c r="K41" s="68">
        <f t="shared" si="1"/>
        <v>3.3</v>
      </c>
      <c r="L41" s="69">
        <f t="shared" si="2"/>
        <v>32.880000000000003</v>
      </c>
      <c r="M41" s="273">
        <f t="shared" si="3"/>
        <v>108.504</v>
      </c>
      <c r="N41" s="71">
        <f t="shared" si="4"/>
        <v>380.04</v>
      </c>
      <c r="O41" s="72">
        <f t="shared" si="5"/>
        <v>32.880000000000003</v>
      </c>
      <c r="P41" s="274">
        <f t="shared" si="6"/>
        <v>12495.715200000002</v>
      </c>
      <c r="AF41" s="194"/>
      <c r="AG41" s="121">
        <f t="shared" si="8"/>
        <v>395</v>
      </c>
    </row>
    <row r="42" spans="2:33" s="121" customFormat="1" ht="12" x14ac:dyDescent="0.2">
      <c r="B42" s="120"/>
      <c r="C42" s="56" t="s">
        <v>177</v>
      </c>
      <c r="D42" s="56" t="s">
        <v>96</v>
      </c>
      <c r="E42" s="57" t="s">
        <v>227</v>
      </c>
      <c r="F42" s="58" t="s">
        <v>228</v>
      </c>
      <c r="G42" s="59" t="s">
        <v>133</v>
      </c>
      <c r="H42" s="60">
        <v>376.74</v>
      </c>
      <c r="I42" s="61">
        <v>6.58</v>
      </c>
      <c r="J42" s="60">
        <v>2478.9</v>
      </c>
      <c r="K42" s="68">
        <f t="shared" si="1"/>
        <v>3.3</v>
      </c>
      <c r="L42" s="69">
        <f t="shared" si="2"/>
        <v>6.58</v>
      </c>
      <c r="M42" s="273">
        <f t="shared" si="3"/>
        <v>21.713999999999999</v>
      </c>
      <c r="N42" s="71">
        <f t="shared" si="4"/>
        <v>380.04</v>
      </c>
      <c r="O42" s="72">
        <f t="shared" si="5"/>
        <v>6.58</v>
      </c>
      <c r="P42" s="274">
        <f t="shared" si="6"/>
        <v>2500.6632</v>
      </c>
      <c r="AF42" s="194"/>
      <c r="AG42" s="121">
        <f t="shared" si="8"/>
        <v>395</v>
      </c>
    </row>
    <row r="43" spans="2:33" s="170" customFormat="1" ht="12.75" x14ac:dyDescent="0.2">
      <c r="B43" s="165"/>
      <c r="C43" s="252"/>
      <c r="D43" s="253" t="s">
        <v>4</v>
      </c>
      <c r="E43" s="254" t="s">
        <v>100</v>
      </c>
      <c r="F43" s="254" t="s">
        <v>229</v>
      </c>
      <c r="G43" s="252"/>
      <c r="H43" s="252"/>
      <c r="I43" s="255"/>
      <c r="J43" s="256">
        <f>+SUBTOTAL(9,J44:J51)</f>
        <v>182552.00000000003</v>
      </c>
      <c r="K43" s="261"/>
      <c r="L43" s="262"/>
      <c r="M43" s="279">
        <f>SUM(M44:M51)</f>
        <v>1585.1472000000001</v>
      </c>
      <c r="N43" s="280"/>
      <c r="O43" s="262"/>
      <c r="P43" s="279">
        <f>SUM(P44:P51)</f>
        <v>184137.17310000001</v>
      </c>
      <c r="AE43" s="121"/>
      <c r="AF43" s="194"/>
      <c r="AG43" s="121">
        <f t="shared" si="8"/>
        <v>0</v>
      </c>
    </row>
    <row r="44" spans="2:33" s="121" customFormat="1" ht="12" x14ac:dyDescent="0.2">
      <c r="B44" s="120"/>
      <c r="C44" s="56" t="s">
        <v>180</v>
      </c>
      <c r="D44" s="56" t="s">
        <v>96</v>
      </c>
      <c r="E44" s="57" t="s">
        <v>231</v>
      </c>
      <c r="F44" s="58" t="s">
        <v>232</v>
      </c>
      <c r="G44" s="59" t="s">
        <v>99</v>
      </c>
      <c r="H44" s="60">
        <v>5</v>
      </c>
      <c r="I44" s="61">
        <v>122.32</v>
      </c>
      <c r="J44" s="60">
        <v>611.6</v>
      </c>
      <c r="K44" s="68">
        <v>0</v>
      </c>
      <c r="L44" s="69">
        <f t="shared" si="2"/>
        <v>122.32</v>
      </c>
      <c r="M44" s="273">
        <f t="shared" si="3"/>
        <v>0</v>
      </c>
      <c r="N44" s="71">
        <f t="shared" si="4"/>
        <v>5</v>
      </c>
      <c r="O44" s="72">
        <f t="shared" si="5"/>
        <v>122.32</v>
      </c>
      <c r="P44" s="274">
        <f t="shared" si="6"/>
        <v>611.59999999999991</v>
      </c>
      <c r="AF44" s="194"/>
      <c r="AG44" s="121">
        <f t="shared" si="8"/>
        <v>5.24</v>
      </c>
    </row>
    <row r="45" spans="2:33" s="121" customFormat="1" ht="12" x14ac:dyDescent="0.2">
      <c r="B45" s="120"/>
      <c r="C45" s="73" t="s">
        <v>183</v>
      </c>
      <c r="D45" s="73" t="s">
        <v>209</v>
      </c>
      <c r="E45" s="74" t="s">
        <v>234</v>
      </c>
      <c r="F45" s="75" t="s">
        <v>235</v>
      </c>
      <c r="G45" s="76" t="s">
        <v>99</v>
      </c>
      <c r="H45" s="77">
        <v>1</v>
      </c>
      <c r="I45" s="78">
        <v>345.9</v>
      </c>
      <c r="J45" s="77">
        <v>345.9</v>
      </c>
      <c r="K45" s="68">
        <v>0</v>
      </c>
      <c r="L45" s="69">
        <f t="shared" si="2"/>
        <v>345.9</v>
      </c>
      <c r="M45" s="273">
        <f t="shared" si="3"/>
        <v>0</v>
      </c>
      <c r="N45" s="71">
        <f t="shared" si="4"/>
        <v>1</v>
      </c>
      <c r="O45" s="72">
        <f t="shared" si="5"/>
        <v>345.9</v>
      </c>
      <c r="P45" s="274">
        <f t="shared" si="6"/>
        <v>345.9</v>
      </c>
      <c r="AF45" s="194"/>
      <c r="AG45" s="121">
        <f t="shared" si="8"/>
        <v>1.05</v>
      </c>
    </row>
    <row r="46" spans="2:33" s="121" customFormat="1" ht="12" x14ac:dyDescent="0.2">
      <c r="B46" s="120"/>
      <c r="C46" s="73" t="s">
        <v>186</v>
      </c>
      <c r="D46" s="73" t="s">
        <v>209</v>
      </c>
      <c r="E46" s="74" t="s">
        <v>237</v>
      </c>
      <c r="F46" s="75" t="s">
        <v>238</v>
      </c>
      <c r="G46" s="76" t="s">
        <v>99</v>
      </c>
      <c r="H46" s="77">
        <v>2</v>
      </c>
      <c r="I46" s="78">
        <v>313.02</v>
      </c>
      <c r="J46" s="77">
        <v>626</v>
      </c>
      <c r="K46" s="68">
        <v>0</v>
      </c>
      <c r="L46" s="69">
        <f t="shared" si="2"/>
        <v>313.02</v>
      </c>
      <c r="M46" s="273">
        <f t="shared" si="3"/>
        <v>0</v>
      </c>
      <c r="N46" s="71">
        <f t="shared" si="4"/>
        <v>2</v>
      </c>
      <c r="O46" s="72">
        <f t="shared" si="5"/>
        <v>313.02</v>
      </c>
      <c r="P46" s="274">
        <f t="shared" si="6"/>
        <v>626.04</v>
      </c>
      <c r="AF46" s="194"/>
      <c r="AG46" s="121">
        <f t="shared" si="8"/>
        <v>2.1</v>
      </c>
    </row>
    <row r="47" spans="2:33" s="121" customFormat="1" ht="12" x14ac:dyDescent="0.2">
      <c r="B47" s="120"/>
      <c r="C47" s="73" t="s">
        <v>189</v>
      </c>
      <c r="D47" s="73" t="s">
        <v>209</v>
      </c>
      <c r="E47" s="74" t="s">
        <v>243</v>
      </c>
      <c r="F47" s="75" t="s">
        <v>244</v>
      </c>
      <c r="G47" s="76" t="s">
        <v>99</v>
      </c>
      <c r="H47" s="77">
        <v>2</v>
      </c>
      <c r="I47" s="78">
        <v>220.96</v>
      </c>
      <c r="J47" s="77">
        <v>441.9</v>
      </c>
      <c r="K47" s="68">
        <v>0</v>
      </c>
      <c r="L47" s="69">
        <f t="shared" si="2"/>
        <v>220.96</v>
      </c>
      <c r="M47" s="273">
        <f t="shared" si="3"/>
        <v>0</v>
      </c>
      <c r="N47" s="71">
        <f t="shared" si="4"/>
        <v>2</v>
      </c>
      <c r="O47" s="72">
        <f t="shared" si="5"/>
        <v>220.96</v>
      </c>
      <c r="P47" s="274">
        <f t="shared" si="6"/>
        <v>441.92</v>
      </c>
      <c r="AF47" s="194"/>
      <c r="AG47" s="121">
        <f t="shared" si="8"/>
        <v>2.1</v>
      </c>
    </row>
    <row r="48" spans="2:33" s="121" customFormat="1" ht="12" x14ac:dyDescent="0.2">
      <c r="B48" s="120"/>
      <c r="C48" s="56" t="s">
        <v>192</v>
      </c>
      <c r="D48" s="56" t="s">
        <v>96</v>
      </c>
      <c r="E48" s="57" t="s">
        <v>246</v>
      </c>
      <c r="F48" s="58" t="s">
        <v>247</v>
      </c>
      <c r="G48" s="59" t="s">
        <v>99</v>
      </c>
      <c r="H48" s="60">
        <v>4</v>
      </c>
      <c r="I48" s="61">
        <v>152.57</v>
      </c>
      <c r="J48" s="60">
        <v>610.29999999999995</v>
      </c>
      <c r="K48" s="68">
        <v>0</v>
      </c>
      <c r="L48" s="69">
        <f t="shared" si="2"/>
        <v>152.57</v>
      </c>
      <c r="M48" s="273">
        <f t="shared" si="3"/>
        <v>0</v>
      </c>
      <c r="N48" s="71">
        <f t="shared" si="4"/>
        <v>4</v>
      </c>
      <c r="O48" s="72">
        <f t="shared" si="5"/>
        <v>152.57</v>
      </c>
      <c r="P48" s="274">
        <f t="shared" si="6"/>
        <v>610.28</v>
      </c>
      <c r="AF48" s="194"/>
      <c r="AG48" s="121">
        <f t="shared" si="8"/>
        <v>4.1900000000000004</v>
      </c>
    </row>
    <row r="49" spans="2:33" s="121" customFormat="1" ht="12" x14ac:dyDescent="0.2">
      <c r="B49" s="120"/>
      <c r="C49" s="73" t="s">
        <v>195</v>
      </c>
      <c r="D49" s="73" t="s">
        <v>209</v>
      </c>
      <c r="E49" s="74" t="s">
        <v>249</v>
      </c>
      <c r="F49" s="75" t="s">
        <v>250</v>
      </c>
      <c r="G49" s="76" t="s">
        <v>99</v>
      </c>
      <c r="H49" s="77">
        <v>4</v>
      </c>
      <c r="I49" s="78">
        <v>395.88</v>
      </c>
      <c r="J49" s="77">
        <v>1583.5</v>
      </c>
      <c r="K49" s="68">
        <v>0</v>
      </c>
      <c r="L49" s="69">
        <f t="shared" si="2"/>
        <v>395.88</v>
      </c>
      <c r="M49" s="273">
        <f t="shared" si="3"/>
        <v>0</v>
      </c>
      <c r="N49" s="71">
        <f t="shared" si="4"/>
        <v>4</v>
      </c>
      <c r="O49" s="72">
        <f t="shared" si="5"/>
        <v>395.88</v>
      </c>
      <c r="P49" s="274">
        <f t="shared" si="6"/>
        <v>1583.52</v>
      </c>
      <c r="AF49" s="194"/>
      <c r="AG49" s="121">
        <f t="shared" si="8"/>
        <v>4.1900000000000004</v>
      </c>
    </row>
    <row r="50" spans="2:33" s="121" customFormat="1" ht="12" x14ac:dyDescent="0.2">
      <c r="B50" s="120"/>
      <c r="C50" s="56" t="s">
        <v>198</v>
      </c>
      <c r="D50" s="56" t="s">
        <v>96</v>
      </c>
      <c r="E50" s="57" t="s">
        <v>252</v>
      </c>
      <c r="F50" s="58" t="s">
        <v>253</v>
      </c>
      <c r="G50" s="59" t="s">
        <v>150</v>
      </c>
      <c r="H50" s="60">
        <v>51.01</v>
      </c>
      <c r="I50" s="61">
        <v>3239.16</v>
      </c>
      <c r="J50" s="60">
        <v>165229.6</v>
      </c>
      <c r="K50" s="68">
        <f t="shared" ref="K50:K51" si="9">ROUND(398.3/395*AG50-AG50,2)</f>
        <v>0.45</v>
      </c>
      <c r="L50" s="69">
        <f t="shared" si="2"/>
        <v>3239.16</v>
      </c>
      <c r="M50" s="273">
        <f t="shared" si="3"/>
        <v>1457.6220000000001</v>
      </c>
      <c r="N50" s="71">
        <f t="shared" si="4"/>
        <v>51.46</v>
      </c>
      <c r="O50" s="72">
        <f t="shared" si="5"/>
        <v>3239.16</v>
      </c>
      <c r="P50" s="274">
        <f t="shared" si="6"/>
        <v>166687.17360000001</v>
      </c>
      <c r="AF50" s="194"/>
      <c r="AG50" s="121">
        <f t="shared" si="8"/>
        <v>53.48</v>
      </c>
    </row>
    <row r="51" spans="2:33" s="121" customFormat="1" ht="20.25" customHeight="1" x14ac:dyDescent="0.2">
      <c r="B51" s="120"/>
      <c r="C51" s="56" t="s">
        <v>202</v>
      </c>
      <c r="D51" s="56" t="s">
        <v>96</v>
      </c>
      <c r="E51" s="57" t="s">
        <v>255</v>
      </c>
      <c r="F51" s="58" t="s">
        <v>256</v>
      </c>
      <c r="G51" s="59" t="s">
        <v>150</v>
      </c>
      <c r="H51" s="60">
        <v>4.1100000000000003</v>
      </c>
      <c r="I51" s="61">
        <v>3188.13</v>
      </c>
      <c r="J51" s="60">
        <v>13103.2</v>
      </c>
      <c r="K51" s="68">
        <f t="shared" si="9"/>
        <v>0.04</v>
      </c>
      <c r="L51" s="69">
        <f t="shared" si="2"/>
        <v>3188.13</v>
      </c>
      <c r="M51" s="273">
        <f t="shared" si="3"/>
        <v>127.52520000000001</v>
      </c>
      <c r="N51" s="71">
        <f t="shared" si="4"/>
        <v>4.1500000000000004</v>
      </c>
      <c r="O51" s="72">
        <f t="shared" si="5"/>
        <v>3188.13</v>
      </c>
      <c r="P51" s="274">
        <f t="shared" si="6"/>
        <v>13230.739500000001</v>
      </c>
      <c r="Q51" s="190" t="s">
        <v>1066</v>
      </c>
      <c r="R51" s="121" t="s">
        <v>1086</v>
      </c>
      <c r="S51" s="186" t="s">
        <v>1097</v>
      </c>
      <c r="T51" s="186" t="s">
        <v>1120</v>
      </c>
      <c r="U51" s="121" t="s">
        <v>1135</v>
      </c>
      <c r="W51" s="186" t="s">
        <v>1139</v>
      </c>
      <c r="AA51" s="186" t="s">
        <v>1150</v>
      </c>
      <c r="AB51" s="121" t="s">
        <v>931</v>
      </c>
      <c r="AF51" s="194"/>
      <c r="AG51" s="121">
        <f t="shared" si="8"/>
        <v>4.3099999999999996</v>
      </c>
    </row>
    <row r="52" spans="2:33" s="170" customFormat="1" ht="12.75" x14ac:dyDescent="0.2">
      <c r="B52" s="165"/>
      <c r="C52" s="252"/>
      <c r="D52" s="253" t="s">
        <v>4</v>
      </c>
      <c r="E52" s="254" t="s">
        <v>105</v>
      </c>
      <c r="F52" s="254" t="s">
        <v>257</v>
      </c>
      <c r="G52" s="252"/>
      <c r="H52" s="252"/>
      <c r="I52" s="255"/>
      <c r="J52" s="256">
        <f>+SUBTOTAL(9,J53:J60)</f>
        <v>724760.8</v>
      </c>
      <c r="K52" s="261"/>
      <c r="L52" s="262"/>
      <c r="M52" s="279">
        <f>SUM(M53:M60)</f>
        <v>0</v>
      </c>
      <c r="N52" s="280"/>
      <c r="O52" s="262"/>
      <c r="P52" s="279">
        <f>SUM(P53:P60)</f>
        <v>724760.6743999999</v>
      </c>
      <c r="AE52" s="121"/>
      <c r="AF52" s="194"/>
      <c r="AG52" s="121">
        <f t="shared" si="8"/>
        <v>0</v>
      </c>
    </row>
    <row r="53" spans="2:33" s="121" customFormat="1" ht="12" x14ac:dyDescent="0.2">
      <c r="B53" s="120"/>
      <c r="C53" s="56" t="s">
        <v>205</v>
      </c>
      <c r="D53" s="56" t="s">
        <v>96</v>
      </c>
      <c r="E53" s="57" t="s">
        <v>259</v>
      </c>
      <c r="F53" s="58" t="s">
        <v>260</v>
      </c>
      <c r="G53" s="59" t="s">
        <v>108</v>
      </c>
      <c r="H53" s="60">
        <v>94.05</v>
      </c>
      <c r="I53" s="61">
        <v>155.66999999999999</v>
      </c>
      <c r="J53" s="60">
        <v>14640.8</v>
      </c>
      <c r="K53" s="68">
        <v>0</v>
      </c>
      <c r="L53" s="69">
        <f t="shared" si="2"/>
        <v>155.66999999999999</v>
      </c>
      <c r="M53" s="273">
        <f t="shared" si="3"/>
        <v>0</v>
      </c>
      <c r="N53" s="71">
        <f t="shared" si="4"/>
        <v>94.05</v>
      </c>
      <c r="O53" s="72">
        <f t="shared" si="5"/>
        <v>155.66999999999999</v>
      </c>
      <c r="P53" s="274">
        <f t="shared" si="6"/>
        <v>14640.763499999999</v>
      </c>
      <c r="AE53" s="186" t="s">
        <v>1183</v>
      </c>
      <c r="AF53" s="194"/>
      <c r="AG53" s="121">
        <f t="shared" si="8"/>
        <v>98.61</v>
      </c>
    </row>
    <row r="54" spans="2:33" s="121" customFormat="1" ht="12" x14ac:dyDescent="0.2">
      <c r="B54" s="120"/>
      <c r="C54" s="56" t="s">
        <v>208</v>
      </c>
      <c r="D54" s="56" t="s">
        <v>96</v>
      </c>
      <c r="E54" s="57" t="s">
        <v>262</v>
      </c>
      <c r="F54" s="58" t="s">
        <v>263</v>
      </c>
      <c r="G54" s="59" t="s">
        <v>108</v>
      </c>
      <c r="H54" s="60">
        <v>340.27</v>
      </c>
      <c r="I54" s="61">
        <v>302.54000000000002</v>
      </c>
      <c r="J54" s="60">
        <v>102945.3</v>
      </c>
      <c r="K54" s="68">
        <v>0</v>
      </c>
      <c r="L54" s="69">
        <f t="shared" si="2"/>
        <v>302.54000000000002</v>
      </c>
      <c r="M54" s="273">
        <f t="shared" si="3"/>
        <v>0</v>
      </c>
      <c r="N54" s="71">
        <f t="shared" si="4"/>
        <v>340.27</v>
      </c>
      <c r="O54" s="72">
        <f t="shared" si="5"/>
        <v>302.54000000000002</v>
      </c>
      <c r="P54" s="274">
        <f t="shared" si="6"/>
        <v>102945.2858</v>
      </c>
      <c r="AF54" s="194"/>
      <c r="AG54" s="121">
        <f t="shared" si="8"/>
        <v>356.76</v>
      </c>
    </row>
    <row r="55" spans="2:33" s="121" customFormat="1" ht="12" x14ac:dyDescent="0.2">
      <c r="B55" s="120"/>
      <c r="C55" s="56" t="s">
        <v>212</v>
      </c>
      <c r="D55" s="56" t="s">
        <v>96</v>
      </c>
      <c r="E55" s="57" t="s">
        <v>268</v>
      </c>
      <c r="F55" s="58" t="s">
        <v>269</v>
      </c>
      <c r="G55" s="59" t="s">
        <v>108</v>
      </c>
      <c r="H55" s="60">
        <v>340.27</v>
      </c>
      <c r="I55" s="61">
        <v>14.18</v>
      </c>
      <c r="J55" s="60">
        <v>4825</v>
      </c>
      <c r="K55" s="68">
        <v>0</v>
      </c>
      <c r="L55" s="69">
        <f t="shared" si="2"/>
        <v>14.18</v>
      </c>
      <c r="M55" s="273">
        <f t="shared" si="3"/>
        <v>0</v>
      </c>
      <c r="N55" s="71">
        <f t="shared" si="4"/>
        <v>340.27</v>
      </c>
      <c r="O55" s="72">
        <f t="shared" si="5"/>
        <v>14.18</v>
      </c>
      <c r="P55" s="274">
        <f t="shared" si="6"/>
        <v>4825.0285999999996</v>
      </c>
      <c r="AF55" s="194"/>
      <c r="AG55" s="121">
        <f t="shared" si="8"/>
        <v>356.76</v>
      </c>
    </row>
    <row r="56" spans="2:33" s="121" customFormat="1" ht="12" x14ac:dyDescent="0.2">
      <c r="B56" s="120"/>
      <c r="C56" s="56" t="s">
        <v>215</v>
      </c>
      <c r="D56" s="56" t="s">
        <v>96</v>
      </c>
      <c r="E56" s="57" t="s">
        <v>271</v>
      </c>
      <c r="F56" s="58" t="s">
        <v>272</v>
      </c>
      <c r="G56" s="59" t="s">
        <v>108</v>
      </c>
      <c r="H56" s="60">
        <v>649.61</v>
      </c>
      <c r="I56" s="61">
        <v>20.62</v>
      </c>
      <c r="J56" s="60">
        <v>13395</v>
      </c>
      <c r="K56" s="68">
        <v>0</v>
      </c>
      <c r="L56" s="69">
        <f t="shared" si="2"/>
        <v>20.62</v>
      </c>
      <c r="M56" s="273">
        <f t="shared" si="3"/>
        <v>0</v>
      </c>
      <c r="N56" s="71">
        <f t="shared" si="4"/>
        <v>649.61</v>
      </c>
      <c r="O56" s="72">
        <f t="shared" si="5"/>
        <v>20.62</v>
      </c>
      <c r="P56" s="274">
        <f t="shared" si="6"/>
        <v>13394.958200000001</v>
      </c>
      <c r="AF56" s="194"/>
      <c r="AG56" s="121">
        <f t="shared" si="8"/>
        <v>681.1</v>
      </c>
    </row>
    <row r="57" spans="2:33" s="121" customFormat="1" ht="12" x14ac:dyDescent="0.2">
      <c r="B57" s="120"/>
      <c r="C57" s="56" t="s">
        <v>219</v>
      </c>
      <c r="D57" s="56" t="s">
        <v>96</v>
      </c>
      <c r="E57" s="57" t="s">
        <v>274</v>
      </c>
      <c r="F57" s="58" t="s">
        <v>275</v>
      </c>
      <c r="G57" s="59" t="s">
        <v>108</v>
      </c>
      <c r="H57" s="60">
        <v>649.61</v>
      </c>
      <c r="I57" s="61">
        <v>396.71</v>
      </c>
      <c r="J57" s="60">
        <v>257706.8</v>
      </c>
      <c r="K57" s="68">
        <v>0</v>
      </c>
      <c r="L57" s="69">
        <f t="shared" si="2"/>
        <v>396.71</v>
      </c>
      <c r="M57" s="273">
        <f t="shared" si="3"/>
        <v>0</v>
      </c>
      <c r="N57" s="71">
        <f t="shared" si="4"/>
        <v>649.61</v>
      </c>
      <c r="O57" s="72">
        <f t="shared" si="5"/>
        <v>396.71</v>
      </c>
      <c r="P57" s="274">
        <f t="shared" si="6"/>
        <v>257706.7831</v>
      </c>
      <c r="AF57" s="194"/>
      <c r="AG57" s="121">
        <f t="shared" si="8"/>
        <v>681.1</v>
      </c>
    </row>
    <row r="58" spans="2:33" s="121" customFormat="1" ht="12" x14ac:dyDescent="0.2">
      <c r="B58" s="120"/>
      <c r="C58" s="56" t="s">
        <v>223</v>
      </c>
      <c r="D58" s="56" t="s">
        <v>96</v>
      </c>
      <c r="E58" s="57" t="s">
        <v>277</v>
      </c>
      <c r="F58" s="58" t="s">
        <v>278</v>
      </c>
      <c r="G58" s="59" t="s">
        <v>108</v>
      </c>
      <c r="H58" s="60">
        <v>340.27</v>
      </c>
      <c r="I58" s="61">
        <v>559.51</v>
      </c>
      <c r="J58" s="60">
        <v>190384.5</v>
      </c>
      <c r="K58" s="68">
        <v>0</v>
      </c>
      <c r="L58" s="69">
        <f t="shared" si="2"/>
        <v>559.51</v>
      </c>
      <c r="M58" s="273">
        <f t="shared" si="3"/>
        <v>0</v>
      </c>
      <c r="N58" s="71">
        <f t="shared" si="4"/>
        <v>340.27</v>
      </c>
      <c r="O58" s="72">
        <f t="shared" si="5"/>
        <v>559.51</v>
      </c>
      <c r="P58" s="274">
        <f t="shared" si="6"/>
        <v>190384.46769999998</v>
      </c>
      <c r="AF58" s="194"/>
      <c r="AG58" s="121">
        <f t="shared" si="8"/>
        <v>356.76</v>
      </c>
    </row>
    <row r="59" spans="2:33" s="121" customFormat="1" ht="12" x14ac:dyDescent="0.2">
      <c r="B59" s="120"/>
      <c r="C59" s="56" t="s">
        <v>226</v>
      </c>
      <c r="D59" s="56" t="s">
        <v>96</v>
      </c>
      <c r="E59" s="57" t="s">
        <v>283</v>
      </c>
      <c r="F59" s="58" t="s">
        <v>284</v>
      </c>
      <c r="G59" s="59" t="s">
        <v>108</v>
      </c>
      <c r="H59" s="60">
        <v>94.05</v>
      </c>
      <c r="I59" s="61">
        <v>745.05</v>
      </c>
      <c r="J59" s="60">
        <v>70072</v>
      </c>
      <c r="K59" s="68">
        <v>0</v>
      </c>
      <c r="L59" s="69">
        <f t="shared" si="2"/>
        <v>745.05</v>
      </c>
      <c r="M59" s="273">
        <f t="shared" si="3"/>
        <v>0</v>
      </c>
      <c r="N59" s="71">
        <f t="shared" si="4"/>
        <v>94.05</v>
      </c>
      <c r="O59" s="72">
        <f t="shared" si="5"/>
        <v>745.05</v>
      </c>
      <c r="P59" s="274">
        <f t="shared" si="6"/>
        <v>70071.952499999999</v>
      </c>
      <c r="AF59" s="194"/>
      <c r="AG59" s="121">
        <f t="shared" si="8"/>
        <v>98.61</v>
      </c>
    </row>
    <row r="60" spans="2:33" s="121" customFormat="1" ht="12" x14ac:dyDescent="0.2">
      <c r="B60" s="120"/>
      <c r="C60" s="73" t="s">
        <v>230</v>
      </c>
      <c r="D60" s="73" t="s">
        <v>209</v>
      </c>
      <c r="E60" s="74" t="s">
        <v>286</v>
      </c>
      <c r="F60" s="75" t="s">
        <v>287</v>
      </c>
      <c r="G60" s="76" t="s">
        <v>201</v>
      </c>
      <c r="H60" s="77">
        <v>18.809999999999999</v>
      </c>
      <c r="I60" s="78">
        <v>3763.5</v>
      </c>
      <c r="J60" s="77">
        <v>70791.399999999994</v>
      </c>
      <c r="K60" s="68">
        <v>0</v>
      </c>
      <c r="L60" s="69">
        <f t="shared" si="2"/>
        <v>3763.5</v>
      </c>
      <c r="M60" s="273">
        <f t="shared" si="3"/>
        <v>0</v>
      </c>
      <c r="N60" s="71">
        <f t="shared" si="4"/>
        <v>18.809999999999999</v>
      </c>
      <c r="O60" s="72">
        <f t="shared" si="5"/>
        <v>3763.5</v>
      </c>
      <c r="P60" s="274">
        <f t="shared" si="6"/>
        <v>70791.434999999998</v>
      </c>
      <c r="AF60" s="194"/>
      <c r="AG60" s="121">
        <f t="shared" si="8"/>
        <v>19.72</v>
      </c>
    </row>
    <row r="61" spans="2:33" s="170" customFormat="1" ht="12.75" x14ac:dyDescent="0.2">
      <c r="B61" s="165"/>
      <c r="C61" s="252"/>
      <c r="D61" s="253" t="s">
        <v>4</v>
      </c>
      <c r="E61" s="254" t="s">
        <v>115</v>
      </c>
      <c r="F61" s="254" t="s">
        <v>288</v>
      </c>
      <c r="G61" s="252"/>
      <c r="H61" s="252"/>
      <c r="I61" s="255"/>
      <c r="J61" s="256">
        <f>+SUBTOTAL(9,J62:J81)</f>
        <v>1096094.9999999998</v>
      </c>
      <c r="K61" s="261"/>
      <c r="L61" s="262"/>
      <c r="M61" s="279">
        <f>SUM(M62:M81)</f>
        <v>5536.41</v>
      </c>
      <c r="N61" s="280"/>
      <c r="O61" s="262"/>
      <c r="P61" s="279">
        <f>SUM(P62:P81)</f>
        <v>1101631.1480999999</v>
      </c>
      <c r="AE61" s="121"/>
      <c r="AF61" s="194"/>
      <c r="AG61" s="121">
        <f t="shared" si="8"/>
        <v>0</v>
      </c>
    </row>
    <row r="62" spans="2:33" s="121" customFormat="1" ht="12" x14ac:dyDescent="0.2">
      <c r="B62" s="120"/>
      <c r="C62" s="56" t="s">
        <v>233</v>
      </c>
      <c r="D62" s="56" t="s">
        <v>96</v>
      </c>
      <c r="E62" s="57" t="s">
        <v>296</v>
      </c>
      <c r="F62" s="58" t="s">
        <v>297</v>
      </c>
      <c r="G62" s="59" t="s">
        <v>133</v>
      </c>
      <c r="H62" s="60">
        <v>376.74</v>
      </c>
      <c r="I62" s="61">
        <v>552.39</v>
      </c>
      <c r="J62" s="60">
        <v>208107.4</v>
      </c>
      <c r="K62" s="68">
        <f t="shared" ref="K62:K63" si="10">ROUND(398.3/395*AG62-AG62,2)</f>
        <v>3.3</v>
      </c>
      <c r="L62" s="69">
        <f t="shared" si="2"/>
        <v>552.39</v>
      </c>
      <c r="M62" s="273">
        <f t="shared" si="3"/>
        <v>1822.8869999999999</v>
      </c>
      <c r="N62" s="71">
        <f t="shared" si="4"/>
        <v>380.04</v>
      </c>
      <c r="O62" s="72">
        <f t="shared" si="5"/>
        <v>552.39</v>
      </c>
      <c r="P62" s="274">
        <f t="shared" si="6"/>
        <v>209930.29560000001</v>
      </c>
      <c r="AF62" s="194"/>
      <c r="AG62" s="121">
        <f t="shared" si="8"/>
        <v>395</v>
      </c>
    </row>
    <row r="63" spans="2:33" s="121" customFormat="1" ht="12" x14ac:dyDescent="0.2">
      <c r="B63" s="120"/>
      <c r="C63" s="73" t="s">
        <v>236</v>
      </c>
      <c r="D63" s="73" t="s">
        <v>209</v>
      </c>
      <c r="E63" s="74" t="s">
        <v>299</v>
      </c>
      <c r="F63" s="75" t="s">
        <v>300</v>
      </c>
      <c r="G63" s="76" t="s">
        <v>133</v>
      </c>
      <c r="H63" s="77">
        <v>376.74</v>
      </c>
      <c r="I63" s="78">
        <v>1060.07</v>
      </c>
      <c r="J63" s="77">
        <v>399370.8</v>
      </c>
      <c r="K63" s="68">
        <f t="shared" si="10"/>
        <v>3.3</v>
      </c>
      <c r="L63" s="69">
        <f t="shared" si="2"/>
        <v>1060.07</v>
      </c>
      <c r="M63" s="273">
        <f t="shared" si="3"/>
        <v>3498.2309999999998</v>
      </c>
      <c r="N63" s="71">
        <f t="shared" si="4"/>
        <v>380.04</v>
      </c>
      <c r="O63" s="72">
        <f t="shared" si="5"/>
        <v>1060.07</v>
      </c>
      <c r="P63" s="274">
        <f t="shared" si="6"/>
        <v>402869.00280000002</v>
      </c>
      <c r="AF63" s="194"/>
      <c r="AG63" s="121">
        <f t="shared" si="8"/>
        <v>395</v>
      </c>
    </row>
    <row r="64" spans="2:33" s="121" customFormat="1" ht="12" x14ac:dyDescent="0.2">
      <c r="B64" s="120"/>
      <c r="C64" s="73" t="s">
        <v>239</v>
      </c>
      <c r="D64" s="73" t="s">
        <v>209</v>
      </c>
      <c r="E64" s="74" t="s">
        <v>302</v>
      </c>
      <c r="F64" s="75" t="s">
        <v>303</v>
      </c>
      <c r="G64" s="76" t="s">
        <v>99</v>
      </c>
      <c r="H64" s="77">
        <v>23</v>
      </c>
      <c r="I64" s="78">
        <v>739.15</v>
      </c>
      <c r="J64" s="77">
        <v>17000.5</v>
      </c>
      <c r="K64" s="68">
        <v>0</v>
      </c>
      <c r="L64" s="69">
        <f t="shared" si="2"/>
        <v>739.15</v>
      </c>
      <c r="M64" s="273">
        <f t="shared" si="3"/>
        <v>0</v>
      </c>
      <c r="N64" s="71">
        <f t="shared" si="4"/>
        <v>23</v>
      </c>
      <c r="O64" s="72">
        <f t="shared" si="5"/>
        <v>739.15</v>
      </c>
      <c r="P64" s="274">
        <f t="shared" si="6"/>
        <v>17000.45</v>
      </c>
      <c r="AF64" s="194"/>
      <c r="AG64" s="121">
        <f t="shared" si="8"/>
        <v>24.11</v>
      </c>
    </row>
    <row r="65" spans="2:33" s="121" customFormat="1" ht="12" x14ac:dyDescent="0.2">
      <c r="B65" s="120"/>
      <c r="C65" s="56" t="s">
        <v>242</v>
      </c>
      <c r="D65" s="56" t="s">
        <v>96</v>
      </c>
      <c r="E65" s="57" t="s">
        <v>320</v>
      </c>
      <c r="F65" s="58" t="s">
        <v>321</v>
      </c>
      <c r="G65" s="59" t="s">
        <v>99</v>
      </c>
      <c r="H65" s="60">
        <v>10</v>
      </c>
      <c r="I65" s="61">
        <v>260.41000000000003</v>
      </c>
      <c r="J65" s="60">
        <v>2604.1</v>
      </c>
      <c r="K65" s="68">
        <v>0</v>
      </c>
      <c r="L65" s="69">
        <f t="shared" si="2"/>
        <v>260.41000000000003</v>
      </c>
      <c r="M65" s="273">
        <f t="shared" si="3"/>
        <v>0</v>
      </c>
      <c r="N65" s="71">
        <f t="shared" si="4"/>
        <v>10</v>
      </c>
      <c r="O65" s="72">
        <f t="shared" si="5"/>
        <v>260.41000000000003</v>
      </c>
      <c r="P65" s="274">
        <f t="shared" si="6"/>
        <v>2604.1000000000004</v>
      </c>
      <c r="AF65" s="194"/>
      <c r="AG65" s="121">
        <f t="shared" si="8"/>
        <v>10.48</v>
      </c>
    </row>
    <row r="66" spans="2:33" s="121" customFormat="1" ht="12" x14ac:dyDescent="0.2">
      <c r="B66" s="120"/>
      <c r="C66" s="73" t="s">
        <v>245</v>
      </c>
      <c r="D66" s="73" t="s">
        <v>209</v>
      </c>
      <c r="E66" s="74" t="s">
        <v>326</v>
      </c>
      <c r="F66" s="75" t="s">
        <v>327</v>
      </c>
      <c r="G66" s="76" t="s">
        <v>99</v>
      </c>
      <c r="H66" s="77">
        <v>10.15</v>
      </c>
      <c r="I66" s="78">
        <v>1801.85</v>
      </c>
      <c r="J66" s="77">
        <v>18288.8</v>
      </c>
      <c r="K66" s="68">
        <v>0</v>
      </c>
      <c r="L66" s="69">
        <f t="shared" si="2"/>
        <v>1801.85</v>
      </c>
      <c r="M66" s="273">
        <f t="shared" si="3"/>
        <v>0</v>
      </c>
      <c r="N66" s="71">
        <f t="shared" si="4"/>
        <v>10.15</v>
      </c>
      <c r="O66" s="72">
        <f t="shared" si="5"/>
        <v>1801.85</v>
      </c>
      <c r="P66" s="274">
        <f t="shared" si="6"/>
        <v>18288.7775</v>
      </c>
      <c r="AF66" s="194"/>
      <c r="AG66" s="121">
        <f t="shared" si="8"/>
        <v>10.64</v>
      </c>
    </row>
    <row r="67" spans="2:33" s="121" customFormat="1" ht="12" x14ac:dyDescent="0.2">
      <c r="B67" s="120"/>
      <c r="C67" s="56" t="s">
        <v>248</v>
      </c>
      <c r="D67" s="56" t="s">
        <v>96</v>
      </c>
      <c r="E67" s="57" t="s">
        <v>329</v>
      </c>
      <c r="F67" s="58" t="s">
        <v>330</v>
      </c>
      <c r="G67" s="59" t="s">
        <v>99</v>
      </c>
      <c r="H67" s="60">
        <v>25</v>
      </c>
      <c r="I67" s="61">
        <v>219.64</v>
      </c>
      <c r="J67" s="60">
        <v>5491</v>
      </c>
      <c r="K67" s="68">
        <v>0</v>
      </c>
      <c r="L67" s="69">
        <f t="shared" si="2"/>
        <v>219.64</v>
      </c>
      <c r="M67" s="273">
        <f t="shared" si="3"/>
        <v>0</v>
      </c>
      <c r="N67" s="71">
        <f t="shared" si="4"/>
        <v>25</v>
      </c>
      <c r="O67" s="72">
        <f t="shared" si="5"/>
        <v>219.64</v>
      </c>
      <c r="P67" s="274">
        <f t="shared" si="6"/>
        <v>5491</v>
      </c>
      <c r="AF67" s="194"/>
      <c r="AG67" s="121">
        <f t="shared" si="8"/>
        <v>26.21</v>
      </c>
    </row>
    <row r="68" spans="2:33" s="121" customFormat="1" ht="12" x14ac:dyDescent="0.2">
      <c r="B68" s="120"/>
      <c r="C68" s="73" t="s">
        <v>251</v>
      </c>
      <c r="D68" s="73" t="s">
        <v>209</v>
      </c>
      <c r="E68" s="74" t="s">
        <v>332</v>
      </c>
      <c r="F68" s="75" t="s">
        <v>333</v>
      </c>
      <c r="G68" s="76" t="s">
        <v>99</v>
      </c>
      <c r="H68" s="77">
        <v>12.18</v>
      </c>
      <c r="I68" s="78">
        <v>1129.77</v>
      </c>
      <c r="J68" s="77">
        <v>13760.6</v>
      </c>
      <c r="K68" s="68">
        <v>0</v>
      </c>
      <c r="L68" s="69">
        <f t="shared" si="2"/>
        <v>1129.77</v>
      </c>
      <c r="M68" s="273">
        <f t="shared" si="3"/>
        <v>0</v>
      </c>
      <c r="N68" s="71">
        <f t="shared" si="4"/>
        <v>12.18</v>
      </c>
      <c r="O68" s="72">
        <f t="shared" si="5"/>
        <v>1129.77</v>
      </c>
      <c r="P68" s="274">
        <f t="shared" si="6"/>
        <v>13760.598599999999</v>
      </c>
      <c r="AF68" s="194"/>
      <c r="AG68" s="121">
        <f t="shared" si="8"/>
        <v>12.77</v>
      </c>
    </row>
    <row r="69" spans="2:33" s="121" customFormat="1" ht="12" x14ac:dyDescent="0.2">
      <c r="B69" s="120"/>
      <c r="C69" s="73" t="s">
        <v>254</v>
      </c>
      <c r="D69" s="73" t="s">
        <v>209</v>
      </c>
      <c r="E69" s="74" t="s">
        <v>335</v>
      </c>
      <c r="F69" s="75" t="s">
        <v>336</v>
      </c>
      <c r="G69" s="76" t="s">
        <v>99</v>
      </c>
      <c r="H69" s="77">
        <v>13.2</v>
      </c>
      <c r="I69" s="78">
        <v>1129.77</v>
      </c>
      <c r="J69" s="77">
        <v>14913</v>
      </c>
      <c r="K69" s="68">
        <v>0</v>
      </c>
      <c r="L69" s="69">
        <f t="shared" si="2"/>
        <v>1129.77</v>
      </c>
      <c r="M69" s="273">
        <f t="shared" si="3"/>
        <v>0</v>
      </c>
      <c r="N69" s="71">
        <f t="shared" si="4"/>
        <v>13.2</v>
      </c>
      <c r="O69" s="72">
        <f t="shared" si="5"/>
        <v>1129.77</v>
      </c>
      <c r="P69" s="274">
        <f t="shared" si="6"/>
        <v>14912.963999999998</v>
      </c>
      <c r="AF69" s="194"/>
      <c r="AG69" s="121">
        <f t="shared" si="8"/>
        <v>13.84</v>
      </c>
    </row>
    <row r="70" spans="2:33" s="121" customFormat="1" ht="33.75" x14ac:dyDescent="0.2">
      <c r="B70" s="120"/>
      <c r="C70" s="56" t="s">
        <v>258</v>
      </c>
      <c r="D70" s="56" t="s">
        <v>96</v>
      </c>
      <c r="E70" s="57" t="s">
        <v>347</v>
      </c>
      <c r="F70" s="58" t="s">
        <v>348</v>
      </c>
      <c r="G70" s="59" t="s">
        <v>133</v>
      </c>
      <c r="H70" s="60">
        <v>376.74</v>
      </c>
      <c r="I70" s="61">
        <v>56.03</v>
      </c>
      <c r="J70" s="60">
        <v>21108.7</v>
      </c>
      <c r="K70" s="68">
        <f t="shared" ref="K70" si="11">ROUND(398.3/395*AG70-AG70,2)</f>
        <v>3.3</v>
      </c>
      <c r="L70" s="69">
        <f t="shared" si="2"/>
        <v>56.03</v>
      </c>
      <c r="M70" s="273">
        <f t="shared" si="3"/>
        <v>184.899</v>
      </c>
      <c r="N70" s="71">
        <f t="shared" si="4"/>
        <v>380.04</v>
      </c>
      <c r="O70" s="72">
        <f t="shared" si="5"/>
        <v>56.03</v>
      </c>
      <c r="P70" s="274">
        <f t="shared" si="6"/>
        <v>21293.641200000002</v>
      </c>
      <c r="AF70" s="194"/>
      <c r="AG70" s="121">
        <f t="shared" si="8"/>
        <v>395</v>
      </c>
    </row>
    <row r="71" spans="2:33" s="121" customFormat="1" ht="12" x14ac:dyDescent="0.2">
      <c r="B71" s="120"/>
      <c r="C71" s="56" t="s">
        <v>261</v>
      </c>
      <c r="D71" s="56" t="s">
        <v>96</v>
      </c>
      <c r="E71" s="57" t="s">
        <v>350</v>
      </c>
      <c r="F71" s="58" t="s">
        <v>351</v>
      </c>
      <c r="G71" s="59" t="s">
        <v>99</v>
      </c>
      <c r="H71" s="60">
        <v>18</v>
      </c>
      <c r="I71" s="61">
        <v>808.86</v>
      </c>
      <c r="J71" s="60">
        <v>14559.5</v>
      </c>
      <c r="K71" s="68">
        <v>0</v>
      </c>
      <c r="L71" s="69">
        <f t="shared" si="2"/>
        <v>808.86</v>
      </c>
      <c r="M71" s="273">
        <f t="shared" si="3"/>
        <v>0</v>
      </c>
      <c r="N71" s="71">
        <f t="shared" si="4"/>
        <v>18</v>
      </c>
      <c r="O71" s="72">
        <f t="shared" si="5"/>
        <v>808.86</v>
      </c>
      <c r="P71" s="274">
        <f t="shared" si="6"/>
        <v>14559.48</v>
      </c>
      <c r="AF71" s="194"/>
      <c r="AG71" s="121">
        <f t="shared" si="8"/>
        <v>18.87</v>
      </c>
    </row>
    <row r="72" spans="2:33" s="121" customFormat="1" ht="12" x14ac:dyDescent="0.2">
      <c r="B72" s="120"/>
      <c r="C72" s="73" t="s">
        <v>264</v>
      </c>
      <c r="D72" s="73" t="s">
        <v>209</v>
      </c>
      <c r="E72" s="74" t="s">
        <v>356</v>
      </c>
      <c r="F72" s="75" t="s">
        <v>357</v>
      </c>
      <c r="G72" s="76" t="s">
        <v>99</v>
      </c>
      <c r="H72" s="77">
        <v>9</v>
      </c>
      <c r="I72" s="78">
        <v>1202.1099999999999</v>
      </c>
      <c r="J72" s="77">
        <v>10819</v>
      </c>
      <c r="K72" s="68">
        <v>0</v>
      </c>
      <c r="L72" s="69">
        <f t="shared" si="2"/>
        <v>1202.1099999999999</v>
      </c>
      <c r="M72" s="273">
        <f t="shared" si="3"/>
        <v>0</v>
      </c>
      <c r="N72" s="71">
        <f t="shared" si="4"/>
        <v>9</v>
      </c>
      <c r="O72" s="72">
        <f t="shared" si="5"/>
        <v>1202.1099999999999</v>
      </c>
      <c r="P72" s="274">
        <f t="shared" si="6"/>
        <v>10818.99</v>
      </c>
      <c r="AF72" s="194"/>
      <c r="AG72" s="121">
        <f t="shared" si="8"/>
        <v>9.44</v>
      </c>
    </row>
    <row r="73" spans="2:33" s="121" customFormat="1" ht="12" x14ac:dyDescent="0.2">
      <c r="B73" s="120"/>
      <c r="C73" s="73" t="s">
        <v>267</v>
      </c>
      <c r="D73" s="73" t="s">
        <v>209</v>
      </c>
      <c r="E73" s="74" t="s">
        <v>359</v>
      </c>
      <c r="F73" s="75" t="s">
        <v>360</v>
      </c>
      <c r="G73" s="76" t="s">
        <v>99</v>
      </c>
      <c r="H73" s="77">
        <v>9</v>
      </c>
      <c r="I73" s="78">
        <v>775.98</v>
      </c>
      <c r="J73" s="77">
        <v>6983.8</v>
      </c>
      <c r="K73" s="68">
        <v>0</v>
      </c>
      <c r="L73" s="69">
        <f t="shared" si="2"/>
        <v>775.98</v>
      </c>
      <c r="M73" s="273">
        <f t="shared" si="3"/>
        <v>0</v>
      </c>
      <c r="N73" s="71">
        <f t="shared" si="4"/>
        <v>9</v>
      </c>
      <c r="O73" s="72">
        <f t="shared" si="5"/>
        <v>775.98</v>
      </c>
      <c r="P73" s="274">
        <f t="shared" si="6"/>
        <v>6983.82</v>
      </c>
      <c r="AF73" s="194"/>
      <c r="AG73" s="121">
        <f t="shared" si="8"/>
        <v>9.44</v>
      </c>
    </row>
    <row r="74" spans="2:33" s="121" customFormat="1" ht="12" x14ac:dyDescent="0.2">
      <c r="B74" s="120"/>
      <c r="C74" s="73" t="s">
        <v>270</v>
      </c>
      <c r="D74" s="73" t="s">
        <v>209</v>
      </c>
      <c r="E74" s="74" t="s">
        <v>362</v>
      </c>
      <c r="F74" s="75" t="s">
        <v>363</v>
      </c>
      <c r="G74" s="76" t="s">
        <v>99</v>
      </c>
      <c r="H74" s="77">
        <v>31</v>
      </c>
      <c r="I74" s="78">
        <v>211.75</v>
      </c>
      <c r="J74" s="77">
        <v>6564.3</v>
      </c>
      <c r="K74" s="68">
        <v>0</v>
      </c>
      <c r="L74" s="69">
        <f t="shared" si="2"/>
        <v>211.75</v>
      </c>
      <c r="M74" s="273">
        <f t="shared" si="3"/>
        <v>0</v>
      </c>
      <c r="N74" s="71">
        <f t="shared" si="4"/>
        <v>31</v>
      </c>
      <c r="O74" s="72">
        <f t="shared" si="5"/>
        <v>211.75</v>
      </c>
      <c r="P74" s="274">
        <f t="shared" si="6"/>
        <v>6564.25</v>
      </c>
      <c r="AF74" s="194"/>
      <c r="AG74" s="121">
        <f t="shared" si="8"/>
        <v>32.5</v>
      </c>
    </row>
    <row r="75" spans="2:33" s="121" customFormat="1" ht="12" x14ac:dyDescent="0.2">
      <c r="B75" s="120"/>
      <c r="C75" s="56" t="s">
        <v>273</v>
      </c>
      <c r="D75" s="56" t="s">
        <v>96</v>
      </c>
      <c r="E75" s="57" t="s">
        <v>365</v>
      </c>
      <c r="F75" s="58" t="s">
        <v>366</v>
      </c>
      <c r="G75" s="59" t="s">
        <v>99</v>
      </c>
      <c r="H75" s="60">
        <v>13</v>
      </c>
      <c r="I75" s="61">
        <v>808.86</v>
      </c>
      <c r="J75" s="60">
        <v>10515.2</v>
      </c>
      <c r="K75" s="68">
        <v>0</v>
      </c>
      <c r="L75" s="69">
        <f t="shared" si="2"/>
        <v>808.86</v>
      </c>
      <c r="M75" s="273">
        <f t="shared" si="3"/>
        <v>0</v>
      </c>
      <c r="N75" s="71">
        <f t="shared" si="4"/>
        <v>13</v>
      </c>
      <c r="O75" s="72">
        <f t="shared" si="5"/>
        <v>808.86</v>
      </c>
      <c r="P75" s="274">
        <f t="shared" si="6"/>
        <v>10515.18</v>
      </c>
      <c r="AF75" s="194"/>
      <c r="AG75" s="121">
        <f t="shared" si="8"/>
        <v>13.63</v>
      </c>
    </row>
    <row r="76" spans="2:33" s="121" customFormat="1" ht="12" x14ac:dyDescent="0.2">
      <c r="B76" s="120"/>
      <c r="C76" s="73" t="s">
        <v>276</v>
      </c>
      <c r="D76" s="73" t="s">
        <v>209</v>
      </c>
      <c r="E76" s="74" t="s">
        <v>368</v>
      </c>
      <c r="F76" s="75" t="s">
        <v>369</v>
      </c>
      <c r="G76" s="76" t="s">
        <v>99</v>
      </c>
      <c r="H76" s="77">
        <v>13</v>
      </c>
      <c r="I76" s="78">
        <v>1530.92</v>
      </c>
      <c r="J76" s="77">
        <v>19902</v>
      </c>
      <c r="K76" s="68">
        <v>0</v>
      </c>
      <c r="L76" s="69">
        <f t="shared" si="2"/>
        <v>1530.92</v>
      </c>
      <c r="M76" s="273">
        <f t="shared" si="3"/>
        <v>0</v>
      </c>
      <c r="N76" s="71">
        <f t="shared" si="4"/>
        <v>13</v>
      </c>
      <c r="O76" s="72">
        <f t="shared" si="5"/>
        <v>1530.92</v>
      </c>
      <c r="P76" s="274">
        <f t="shared" si="6"/>
        <v>19901.96</v>
      </c>
      <c r="AF76" s="194"/>
      <c r="AG76" s="121">
        <f t="shared" si="8"/>
        <v>13.63</v>
      </c>
    </row>
    <row r="77" spans="2:33" s="121" customFormat="1" ht="12" x14ac:dyDescent="0.2">
      <c r="B77" s="120"/>
      <c r="C77" s="56" t="s">
        <v>279</v>
      </c>
      <c r="D77" s="56" t="s">
        <v>96</v>
      </c>
      <c r="E77" s="57" t="s">
        <v>371</v>
      </c>
      <c r="F77" s="58" t="s">
        <v>372</v>
      </c>
      <c r="G77" s="59" t="s">
        <v>99</v>
      </c>
      <c r="H77" s="60">
        <v>13</v>
      </c>
      <c r="I77" s="61">
        <v>3234.12</v>
      </c>
      <c r="J77" s="60">
        <v>42043.6</v>
      </c>
      <c r="K77" s="68">
        <v>0</v>
      </c>
      <c r="L77" s="69">
        <f t="shared" si="2"/>
        <v>3234.12</v>
      </c>
      <c r="M77" s="273">
        <f t="shared" si="3"/>
        <v>0</v>
      </c>
      <c r="N77" s="71">
        <f t="shared" si="4"/>
        <v>13</v>
      </c>
      <c r="O77" s="72">
        <f t="shared" si="5"/>
        <v>3234.12</v>
      </c>
      <c r="P77" s="274">
        <f t="shared" si="6"/>
        <v>42043.56</v>
      </c>
      <c r="AF77" s="194"/>
      <c r="AG77" s="121">
        <f t="shared" si="8"/>
        <v>13.63</v>
      </c>
    </row>
    <row r="78" spans="2:33" s="121" customFormat="1" ht="12" x14ac:dyDescent="0.2">
      <c r="B78" s="120"/>
      <c r="C78" s="73" t="s">
        <v>282</v>
      </c>
      <c r="D78" s="73" t="s">
        <v>209</v>
      </c>
      <c r="E78" s="74" t="s">
        <v>374</v>
      </c>
      <c r="F78" s="75" t="s">
        <v>375</v>
      </c>
      <c r="G78" s="76" t="s">
        <v>99</v>
      </c>
      <c r="H78" s="77">
        <v>13</v>
      </c>
      <c r="I78" s="78">
        <v>14588.41</v>
      </c>
      <c r="J78" s="77">
        <v>189649.3</v>
      </c>
      <c r="K78" s="68">
        <v>0</v>
      </c>
      <c r="L78" s="69">
        <f t="shared" si="2"/>
        <v>14588.41</v>
      </c>
      <c r="M78" s="273">
        <f t="shared" si="3"/>
        <v>0</v>
      </c>
      <c r="N78" s="71">
        <f t="shared" si="4"/>
        <v>13</v>
      </c>
      <c r="O78" s="72">
        <f t="shared" si="5"/>
        <v>14588.41</v>
      </c>
      <c r="P78" s="274">
        <f t="shared" si="6"/>
        <v>189649.33</v>
      </c>
      <c r="AF78" s="194"/>
      <c r="AG78" s="121">
        <f t="shared" si="8"/>
        <v>13.63</v>
      </c>
    </row>
    <row r="79" spans="2:33" s="121" customFormat="1" ht="12" x14ac:dyDescent="0.2">
      <c r="B79" s="120"/>
      <c r="C79" s="56" t="s">
        <v>285</v>
      </c>
      <c r="D79" s="56" t="s">
        <v>96</v>
      </c>
      <c r="E79" s="57" t="s">
        <v>377</v>
      </c>
      <c r="F79" s="58" t="s">
        <v>378</v>
      </c>
      <c r="G79" s="59" t="s">
        <v>99</v>
      </c>
      <c r="H79" s="60">
        <v>13</v>
      </c>
      <c r="I79" s="61">
        <v>485.32</v>
      </c>
      <c r="J79" s="60">
        <v>6309.2</v>
      </c>
      <c r="K79" s="68">
        <v>0</v>
      </c>
      <c r="L79" s="69">
        <f t="shared" si="2"/>
        <v>485.32</v>
      </c>
      <c r="M79" s="273">
        <f t="shared" si="3"/>
        <v>0</v>
      </c>
      <c r="N79" s="71">
        <f t="shared" si="4"/>
        <v>13</v>
      </c>
      <c r="O79" s="72">
        <f t="shared" si="5"/>
        <v>485.32</v>
      </c>
      <c r="P79" s="274">
        <f t="shared" si="6"/>
        <v>6309.16</v>
      </c>
      <c r="AF79" s="194"/>
      <c r="AG79" s="121">
        <f t="shared" si="8"/>
        <v>13.63</v>
      </c>
    </row>
    <row r="80" spans="2:33" s="121" customFormat="1" ht="12" x14ac:dyDescent="0.2">
      <c r="B80" s="120"/>
      <c r="C80" s="73" t="s">
        <v>289</v>
      </c>
      <c r="D80" s="73" t="s">
        <v>209</v>
      </c>
      <c r="E80" s="74" t="s">
        <v>380</v>
      </c>
      <c r="F80" s="75" t="s">
        <v>381</v>
      </c>
      <c r="G80" s="76" t="s">
        <v>99</v>
      </c>
      <c r="H80" s="77">
        <v>13</v>
      </c>
      <c r="I80" s="78">
        <v>6510.34</v>
      </c>
      <c r="J80" s="77">
        <v>84634.4</v>
      </c>
      <c r="K80" s="68">
        <v>0</v>
      </c>
      <c r="L80" s="69">
        <f t="shared" ref="L80:L90" si="12">I80</f>
        <v>6510.34</v>
      </c>
      <c r="M80" s="273">
        <f t="shared" ref="M80:M90" si="13">K80*L80</f>
        <v>0</v>
      </c>
      <c r="N80" s="71">
        <f t="shared" ref="N80:N90" si="14">H80+K80</f>
        <v>13</v>
      </c>
      <c r="O80" s="72">
        <f t="shared" ref="O80:O90" si="15">I80</f>
        <v>6510.34</v>
      </c>
      <c r="P80" s="274">
        <f t="shared" ref="P80:P90" si="16">N80*O80</f>
        <v>84634.42</v>
      </c>
      <c r="AF80" s="194"/>
      <c r="AG80" s="121">
        <f t="shared" ref="AG80:AG90" si="17">ROUND(395/376.74*H80,2)</f>
        <v>13.63</v>
      </c>
    </row>
    <row r="81" spans="2:33" s="121" customFormat="1" ht="12" x14ac:dyDescent="0.2">
      <c r="B81" s="120"/>
      <c r="C81" s="56" t="s">
        <v>292</v>
      </c>
      <c r="D81" s="56" t="s">
        <v>96</v>
      </c>
      <c r="E81" s="57" t="s">
        <v>383</v>
      </c>
      <c r="F81" s="58" t="s">
        <v>384</v>
      </c>
      <c r="G81" s="59" t="s">
        <v>133</v>
      </c>
      <c r="H81" s="60">
        <v>376.74</v>
      </c>
      <c r="I81" s="61">
        <v>9.2100000000000009</v>
      </c>
      <c r="J81" s="60">
        <v>3469.8</v>
      </c>
      <c r="K81" s="68">
        <f t="shared" ref="K81" si="18">ROUND(398.3/395*AG81-AG81,2)</f>
        <v>3.3</v>
      </c>
      <c r="L81" s="69">
        <f t="shared" si="12"/>
        <v>9.2100000000000009</v>
      </c>
      <c r="M81" s="273">
        <f t="shared" si="13"/>
        <v>30.393000000000001</v>
      </c>
      <c r="N81" s="71">
        <f t="shared" si="14"/>
        <v>380.04</v>
      </c>
      <c r="O81" s="72">
        <f t="shared" si="15"/>
        <v>9.2100000000000009</v>
      </c>
      <c r="P81" s="274">
        <f t="shared" si="16"/>
        <v>3500.1684000000005</v>
      </c>
      <c r="AF81" s="194"/>
      <c r="AG81" s="121">
        <f t="shared" si="17"/>
        <v>395</v>
      </c>
    </row>
    <row r="82" spans="2:33" s="170" customFormat="1" ht="12.75" x14ac:dyDescent="0.2">
      <c r="B82" s="165"/>
      <c r="C82" s="252"/>
      <c r="D82" s="253" t="s">
        <v>4</v>
      </c>
      <c r="E82" s="254" t="s">
        <v>118</v>
      </c>
      <c r="F82" s="254" t="s">
        <v>385</v>
      </c>
      <c r="G82" s="252"/>
      <c r="H82" s="252"/>
      <c r="I82" s="255"/>
      <c r="J82" s="256">
        <f>+SUBTOTAL(9,J83:J84)</f>
        <v>98982.6</v>
      </c>
      <c r="K82" s="261"/>
      <c r="L82" s="262"/>
      <c r="M82" s="279">
        <f>SUM(M83:M84)</f>
        <v>0</v>
      </c>
      <c r="N82" s="280"/>
      <c r="O82" s="262"/>
      <c r="P82" s="279">
        <f>SUM(P83:P84)</f>
        <v>98982.613199999993</v>
      </c>
      <c r="AE82" s="121"/>
      <c r="AF82" s="194"/>
      <c r="AG82" s="121">
        <f t="shared" si="17"/>
        <v>0</v>
      </c>
    </row>
    <row r="83" spans="2:33" s="121" customFormat="1" ht="12" x14ac:dyDescent="0.2">
      <c r="B83" s="120"/>
      <c r="C83" s="56" t="s">
        <v>295</v>
      </c>
      <c r="D83" s="56" t="s">
        <v>96</v>
      </c>
      <c r="E83" s="57" t="s">
        <v>387</v>
      </c>
      <c r="F83" s="58" t="s">
        <v>388</v>
      </c>
      <c r="G83" s="59" t="s">
        <v>133</v>
      </c>
      <c r="H83" s="60">
        <v>618.67999999999995</v>
      </c>
      <c r="I83" s="61">
        <v>87.65</v>
      </c>
      <c r="J83" s="60">
        <v>54227.3</v>
      </c>
      <c r="K83" s="68">
        <v>0</v>
      </c>
      <c r="L83" s="69">
        <f t="shared" si="12"/>
        <v>87.65</v>
      </c>
      <c r="M83" s="273">
        <f t="shared" si="13"/>
        <v>0</v>
      </c>
      <c r="N83" s="71">
        <f t="shared" si="14"/>
        <v>618.67999999999995</v>
      </c>
      <c r="O83" s="72">
        <f t="shared" si="15"/>
        <v>87.65</v>
      </c>
      <c r="P83" s="274">
        <f t="shared" si="16"/>
        <v>54227.301999999996</v>
      </c>
      <c r="AF83" s="194"/>
      <c r="AG83" s="121">
        <f t="shared" si="17"/>
        <v>648.66999999999996</v>
      </c>
    </row>
    <row r="84" spans="2:33" s="121" customFormat="1" ht="12" x14ac:dyDescent="0.2">
      <c r="B84" s="120"/>
      <c r="C84" s="56" t="s">
        <v>298</v>
      </c>
      <c r="D84" s="56" t="s">
        <v>96</v>
      </c>
      <c r="E84" s="57" t="s">
        <v>390</v>
      </c>
      <c r="F84" s="58" t="s">
        <v>391</v>
      </c>
      <c r="G84" s="59" t="s">
        <v>133</v>
      </c>
      <c r="H84" s="60">
        <v>618.67999999999995</v>
      </c>
      <c r="I84" s="61">
        <v>72.34</v>
      </c>
      <c r="J84" s="60">
        <v>44755.3</v>
      </c>
      <c r="K84" s="68">
        <v>0</v>
      </c>
      <c r="L84" s="69">
        <f t="shared" si="12"/>
        <v>72.34</v>
      </c>
      <c r="M84" s="273">
        <f t="shared" si="13"/>
        <v>0</v>
      </c>
      <c r="N84" s="71">
        <f t="shared" si="14"/>
        <v>618.67999999999995</v>
      </c>
      <c r="O84" s="72">
        <f t="shared" si="15"/>
        <v>72.34</v>
      </c>
      <c r="P84" s="274">
        <f t="shared" si="16"/>
        <v>44755.311199999996</v>
      </c>
      <c r="AF84" s="194"/>
      <c r="AG84" s="121">
        <f t="shared" si="17"/>
        <v>648.66999999999996</v>
      </c>
    </row>
    <row r="85" spans="2:33" s="170" customFormat="1" ht="12.75" x14ac:dyDescent="0.2">
      <c r="B85" s="165"/>
      <c r="C85" s="252"/>
      <c r="D85" s="253" t="s">
        <v>4</v>
      </c>
      <c r="E85" s="254" t="s">
        <v>398</v>
      </c>
      <c r="F85" s="254" t="s">
        <v>399</v>
      </c>
      <c r="G85" s="252"/>
      <c r="H85" s="252"/>
      <c r="I85" s="255"/>
      <c r="J85" s="256">
        <f>+SUBTOTAL(9,J86:J88)</f>
        <v>143090</v>
      </c>
      <c r="K85" s="261"/>
      <c r="L85" s="262"/>
      <c r="M85" s="279">
        <f>SUM(M86:M88)</f>
        <v>869.0625</v>
      </c>
      <c r="N85" s="280"/>
      <c r="O85" s="262"/>
      <c r="P85" s="279">
        <f>SUM(P86:P88)</f>
        <v>143959.03209999998</v>
      </c>
      <c r="AE85" s="121"/>
      <c r="AF85" s="194"/>
      <c r="AG85" s="121">
        <f t="shared" si="17"/>
        <v>0</v>
      </c>
    </row>
    <row r="86" spans="2:33" s="121" customFormat="1" ht="12" x14ac:dyDescent="0.2">
      <c r="B86" s="120"/>
      <c r="C86" s="56" t="s">
        <v>301</v>
      </c>
      <c r="D86" s="56" t="s">
        <v>96</v>
      </c>
      <c r="E86" s="57" t="s">
        <v>401</v>
      </c>
      <c r="F86" s="58" t="s">
        <v>402</v>
      </c>
      <c r="G86" s="59" t="s">
        <v>201</v>
      </c>
      <c r="H86" s="60">
        <v>393.34</v>
      </c>
      <c r="I86" s="61">
        <v>164.48</v>
      </c>
      <c r="J86" s="60">
        <v>64696.6</v>
      </c>
      <c r="K86" s="68">
        <f t="shared" ref="K86" si="19">ROUND(398.3/395*AG86-AG86,2)</f>
        <v>3.45</v>
      </c>
      <c r="L86" s="69">
        <f t="shared" si="12"/>
        <v>164.48</v>
      </c>
      <c r="M86" s="273">
        <f t="shared" si="13"/>
        <v>567.45600000000002</v>
      </c>
      <c r="N86" s="71">
        <f t="shared" si="14"/>
        <v>396.78999999999996</v>
      </c>
      <c r="O86" s="72">
        <f t="shared" si="15"/>
        <v>164.48</v>
      </c>
      <c r="P86" s="274">
        <f t="shared" si="16"/>
        <v>65264.019199999988</v>
      </c>
      <c r="AF86" s="194"/>
      <c r="AG86" s="121">
        <f t="shared" si="17"/>
        <v>412.4</v>
      </c>
    </row>
    <row r="87" spans="2:33" s="121" customFormat="1" ht="12" x14ac:dyDescent="0.2">
      <c r="B87" s="120"/>
      <c r="C87" s="56" t="s">
        <v>304</v>
      </c>
      <c r="D87" s="56" t="s">
        <v>96</v>
      </c>
      <c r="E87" s="57" t="s">
        <v>407</v>
      </c>
      <c r="F87" s="58" t="s">
        <v>408</v>
      </c>
      <c r="G87" s="59" t="s">
        <v>201</v>
      </c>
      <c r="H87" s="60">
        <v>170.26</v>
      </c>
      <c r="I87" s="61">
        <v>257.77999999999997</v>
      </c>
      <c r="J87" s="60">
        <v>43889.599999999999</v>
      </c>
      <c r="K87" s="68">
        <v>0</v>
      </c>
      <c r="L87" s="69">
        <f t="shared" si="12"/>
        <v>257.77999999999997</v>
      </c>
      <c r="M87" s="273">
        <f t="shared" si="13"/>
        <v>0</v>
      </c>
      <c r="N87" s="71">
        <f t="shared" si="14"/>
        <v>170.26</v>
      </c>
      <c r="O87" s="72">
        <f t="shared" si="15"/>
        <v>257.77999999999997</v>
      </c>
      <c r="P87" s="274">
        <f t="shared" si="16"/>
        <v>43889.62279999999</v>
      </c>
      <c r="AF87" s="194"/>
      <c r="AG87" s="121">
        <f t="shared" si="17"/>
        <v>178.51</v>
      </c>
    </row>
    <row r="88" spans="2:33" s="121" customFormat="1" ht="12" x14ac:dyDescent="0.2">
      <c r="B88" s="120"/>
      <c r="C88" s="56" t="s">
        <v>307</v>
      </c>
      <c r="D88" s="56" t="s">
        <v>96</v>
      </c>
      <c r="E88" s="57" t="s">
        <v>410</v>
      </c>
      <c r="F88" s="58" t="s">
        <v>411</v>
      </c>
      <c r="G88" s="59" t="s">
        <v>201</v>
      </c>
      <c r="H88" s="60">
        <v>223.08</v>
      </c>
      <c r="I88" s="61">
        <v>154.66999999999999</v>
      </c>
      <c r="J88" s="60">
        <v>34503.800000000003</v>
      </c>
      <c r="K88" s="68">
        <f t="shared" ref="K88" si="20">ROUND(398.3/395*AG88-AG88,2)</f>
        <v>1.95</v>
      </c>
      <c r="L88" s="69">
        <f t="shared" si="12"/>
        <v>154.66999999999999</v>
      </c>
      <c r="M88" s="273">
        <f t="shared" si="13"/>
        <v>301.60649999999998</v>
      </c>
      <c r="N88" s="71">
        <f t="shared" si="14"/>
        <v>225.03</v>
      </c>
      <c r="O88" s="72">
        <f t="shared" si="15"/>
        <v>154.66999999999999</v>
      </c>
      <c r="P88" s="274">
        <f t="shared" si="16"/>
        <v>34805.390099999997</v>
      </c>
      <c r="AF88" s="194"/>
      <c r="AG88" s="121">
        <f t="shared" si="17"/>
        <v>233.89</v>
      </c>
    </row>
    <row r="89" spans="2:33" s="170" customFormat="1" ht="12.75" x14ac:dyDescent="0.2">
      <c r="B89" s="165"/>
      <c r="C89" s="252"/>
      <c r="D89" s="253" t="s">
        <v>4</v>
      </c>
      <c r="E89" s="254" t="s">
        <v>412</v>
      </c>
      <c r="F89" s="254" t="s">
        <v>413</v>
      </c>
      <c r="G89" s="252"/>
      <c r="H89" s="252"/>
      <c r="I89" s="255"/>
      <c r="J89" s="256">
        <f>+SUBTOTAL(9,J90)</f>
        <v>119155.8</v>
      </c>
      <c r="K89" s="261"/>
      <c r="L89" s="262"/>
      <c r="M89" s="279">
        <f>M90</f>
        <v>1043.5103999999999</v>
      </c>
      <c r="N89" s="280"/>
      <c r="O89" s="262"/>
      <c r="P89" s="279">
        <f>P90</f>
        <v>120199.3542</v>
      </c>
      <c r="AE89" s="121"/>
      <c r="AF89" s="194"/>
      <c r="AG89" s="121">
        <f t="shared" si="17"/>
        <v>0</v>
      </c>
    </row>
    <row r="90" spans="2:33" s="121" customFormat="1" ht="12" x14ac:dyDescent="0.2">
      <c r="B90" s="120"/>
      <c r="C90" s="56" t="s">
        <v>310</v>
      </c>
      <c r="D90" s="56" t="s">
        <v>96</v>
      </c>
      <c r="E90" s="57" t="s">
        <v>415</v>
      </c>
      <c r="F90" s="58" t="s">
        <v>416</v>
      </c>
      <c r="G90" s="59" t="s">
        <v>201</v>
      </c>
      <c r="H90" s="60">
        <v>1041.3900000000001</v>
      </c>
      <c r="I90" s="61">
        <v>114.42</v>
      </c>
      <c r="J90" s="60">
        <v>119155.8</v>
      </c>
      <c r="K90" s="68">
        <f t="shared" ref="K90" si="21">ROUND(398.3/395*AG90-AG90,2)</f>
        <v>9.1199999999999992</v>
      </c>
      <c r="L90" s="69">
        <f t="shared" si="12"/>
        <v>114.42</v>
      </c>
      <c r="M90" s="273">
        <f t="shared" si="13"/>
        <v>1043.5103999999999</v>
      </c>
      <c r="N90" s="71">
        <f t="shared" si="14"/>
        <v>1050.51</v>
      </c>
      <c r="O90" s="72">
        <f t="shared" si="15"/>
        <v>114.42</v>
      </c>
      <c r="P90" s="274">
        <f t="shared" si="16"/>
        <v>120199.3542</v>
      </c>
      <c r="AF90" s="194"/>
      <c r="AG90" s="121">
        <f t="shared" si="17"/>
        <v>1091.8599999999999</v>
      </c>
    </row>
    <row r="91" spans="2:33" s="121" customFormat="1" x14ac:dyDescent="0.2">
      <c r="B91" s="120"/>
      <c r="C91" s="120"/>
      <c r="D91" s="120"/>
      <c r="E91" s="120"/>
      <c r="F91" s="120"/>
      <c r="G91" s="120"/>
      <c r="H91" s="120"/>
      <c r="I91" s="153"/>
      <c r="J91" s="120"/>
    </row>
    <row r="92" spans="2:33" ht="12.75" x14ac:dyDescent="0.2">
      <c r="D92" s="42"/>
      <c r="E92" s="43" t="s">
        <v>899</v>
      </c>
      <c r="F92" s="44"/>
      <c r="G92" s="44"/>
      <c r="H92" s="45"/>
      <c r="I92" s="44"/>
      <c r="J92" s="46">
        <f>ROUND(SUBTOTAL(9,J12:J90),2)</f>
        <v>4331387.9000000004</v>
      </c>
      <c r="K92" s="49"/>
      <c r="L92" s="46"/>
      <c r="M92" s="281">
        <f>M89+M85+M82+M61+M52+M43+M40+M14</f>
        <v>25492.674500000001</v>
      </c>
      <c r="N92" s="49"/>
      <c r="O92" s="46"/>
      <c r="P92" s="281">
        <f>P89+P85+P82+P61+P52+P43+P40+P14</f>
        <v>4356880.3673999999</v>
      </c>
    </row>
    <row r="93" spans="2:33" ht="12.75" x14ac:dyDescent="0.2">
      <c r="H93" s="50"/>
      <c r="I93" s="8"/>
      <c r="J93" s="9"/>
    </row>
    <row r="94" spans="2:33" ht="14.25" x14ac:dyDescent="0.2">
      <c r="E94" s="6" t="s">
        <v>849</v>
      </c>
      <c r="F94" s="6"/>
      <c r="G94" s="320" t="s">
        <v>1224</v>
      </c>
      <c r="H94" s="50"/>
      <c r="I94" s="8"/>
      <c r="J94" s="6"/>
      <c r="K94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90" xr:uid="{00000000-0001-0000-1800-000000000000}"/>
  <mergeCells count="3">
    <mergeCell ref="K9:M9"/>
    <mergeCell ref="N9:P9"/>
    <mergeCell ref="AE13:AE14"/>
  </mergeCells>
  <conditionalFormatting sqref="D3:E8 H3:J8 D1:J2 Q9:HI10 D11:HI11 K1:HI8 K12:O14 K15:L90">
    <cfRule type="cellIs" dxfId="402" priority="99" operator="lessThan">
      <formula>0</formula>
    </cfRule>
  </conditionalFormatting>
  <conditionalFormatting sqref="G4">
    <cfRule type="cellIs" dxfId="401" priority="98" operator="lessThan">
      <formula>0</formula>
    </cfRule>
  </conditionalFormatting>
  <conditionalFormatting sqref="G3">
    <cfRule type="cellIs" dxfId="400" priority="97" operator="lessThan">
      <formula>0</formula>
    </cfRule>
  </conditionalFormatting>
  <conditionalFormatting sqref="K12:O14 K15:L90">
    <cfRule type="cellIs" dxfId="399" priority="44" operator="lessThan">
      <formula>0</formula>
    </cfRule>
  </conditionalFormatting>
  <conditionalFormatting sqref="D92:D94 E92:HS93 Q94:HS94">
    <cfRule type="cellIs" dxfId="398" priority="33" operator="lessThan">
      <formula>0</formula>
    </cfRule>
  </conditionalFormatting>
  <conditionalFormatting sqref="N15:O90">
    <cfRule type="cellIs" dxfId="397" priority="14" operator="lessThan">
      <formula>0</formula>
    </cfRule>
  </conditionalFormatting>
  <conditionalFormatting sqref="N15:O90">
    <cfRule type="cellIs" dxfId="396" priority="13" operator="lessThan">
      <formula>0</formula>
    </cfRule>
  </conditionalFormatting>
  <conditionalFormatting sqref="E9:J10">
    <cfRule type="cellIs" dxfId="395" priority="11" operator="lessThan">
      <formula>0</formula>
    </cfRule>
  </conditionalFormatting>
  <conditionalFormatting sqref="K9:L10 N9:O9">
    <cfRule type="cellIs" dxfId="394" priority="10" operator="lessThan">
      <formula>0</formula>
    </cfRule>
  </conditionalFormatting>
  <conditionalFormatting sqref="M10:P10">
    <cfRule type="cellIs" dxfId="393" priority="9" operator="lessThan">
      <formula>0</formula>
    </cfRule>
  </conditionalFormatting>
  <conditionalFormatting sqref="P14">
    <cfRule type="cellIs" dxfId="392" priority="6" operator="lessThan">
      <formula>0</formula>
    </cfRule>
  </conditionalFormatting>
  <conditionalFormatting sqref="P14">
    <cfRule type="cellIs" dxfId="391" priority="5" operator="lessThan">
      <formula>0</formula>
    </cfRule>
  </conditionalFormatting>
  <conditionalFormatting sqref="G94:I94 L94:P94">
    <cfRule type="cellIs" dxfId="390" priority="4" operator="lessThan">
      <formula>0</formula>
    </cfRule>
  </conditionalFormatting>
  <conditionalFormatting sqref="G94:I94 L94:M94">
    <cfRule type="cellIs" dxfId="389" priority="3" operator="lessThan">
      <formula>0</formula>
    </cfRule>
  </conditionalFormatting>
  <conditionalFormatting sqref="G94:I94">
    <cfRule type="cellIs" dxfId="388" priority="2" operator="lessThan">
      <formula>0</formula>
    </cfRule>
  </conditionalFormatting>
  <conditionalFormatting sqref="G94:I94">
    <cfRule type="cellIs" dxfId="387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8" fitToHeight="0" orientation="landscape" r:id="rId1"/>
  <headerFooter>
    <oddFooter>&amp;CStrana &amp;P z &amp;N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B1:T83"/>
  <sheetViews>
    <sheetView showGridLines="0" view="pageBreakPreview" topLeftCell="A42" zoomScale="60" zoomScaleNormal="100" workbookViewId="0">
      <selection activeCell="L72" sqref="L72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9.33203125" style="8"/>
    <col min="12" max="12" width="18" style="8" customWidth="1"/>
    <col min="13" max="13" width="13.83203125" style="8" bestFit="1" customWidth="1"/>
    <col min="14" max="14" width="9.33203125" style="8"/>
    <col min="15" max="15" width="16.6640625" style="8" bestFit="1" customWidth="1"/>
    <col min="16" max="16" width="16" style="8" customWidth="1"/>
    <col min="17" max="17" width="29.6640625" style="8" hidden="1" customWidth="1"/>
    <col min="18" max="18" width="33.1640625" style="8" hidden="1" customWidth="1"/>
    <col min="19" max="19" width="0" style="8" hidden="1" customWidth="1"/>
    <col min="20" max="20" width="18.5" style="8" customWidth="1"/>
    <col min="21" max="16384" width="9.33203125" style="8"/>
  </cols>
  <sheetData>
    <row r="1" spans="2:20" ht="18.95" customHeight="1" x14ac:dyDescent="0.2">
      <c r="F1" s="11"/>
      <c r="G1" s="89"/>
      <c r="H1" s="88"/>
      <c r="I1" s="8"/>
      <c r="J1" s="9"/>
    </row>
    <row r="2" spans="2:20" s="88" customFormat="1" ht="18" customHeight="1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</row>
    <row r="3" spans="2:20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20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20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20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20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20" s="14" customFormat="1" ht="18" customHeight="1" x14ac:dyDescent="0.2">
      <c r="D8" s="146"/>
      <c r="F8" s="11"/>
      <c r="G8" s="105"/>
      <c r="H8" s="145"/>
      <c r="K8" s="149" t="s">
        <v>851</v>
      </c>
      <c r="L8" s="180" t="str">
        <f>+C12</f>
        <v>C2.1 - Stoka C2.1</v>
      </c>
      <c r="M8" s="180"/>
      <c r="O8" s="151"/>
    </row>
    <row r="9" spans="2:20" s="15" customFormat="1" ht="20.100000000000001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</row>
    <row r="10" spans="2:20" s="15" customFormat="1" ht="24" customHeight="1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189" t="s">
        <v>1136</v>
      </c>
    </row>
    <row r="11" spans="2:20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20" s="121" customFormat="1" ht="22.9" customHeight="1" x14ac:dyDescent="0.25">
      <c r="B12" s="120"/>
      <c r="C12" s="152" t="s">
        <v>496</v>
      </c>
      <c r="D12" s="120"/>
      <c r="E12" s="120"/>
      <c r="F12" s="120"/>
      <c r="G12" s="120"/>
      <c r="H12" s="120"/>
      <c r="I12" s="153"/>
      <c r="J12" s="154">
        <f>+SUBTOTAL(9,J13:J79)</f>
        <v>405073.40000000014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  <c r="Q12" s="347" t="s">
        <v>1140</v>
      </c>
      <c r="R12" s="333" t="s">
        <v>1144</v>
      </c>
    </row>
    <row r="13" spans="2:20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+SUBTOTAL(9,J14:J79)</f>
        <v>405073.40000000014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  <c r="Q13" s="347"/>
      <c r="R13" s="333"/>
    </row>
    <row r="14" spans="2:20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+SUBTOTAL(9,J15:J35)</f>
        <v>159756.50000000003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SUM(M15:M35)</f>
        <v>356.78470000000004</v>
      </c>
      <c r="N14" s="278" t="str">
        <f>IF(ISBLANK(H14),"",H14-K14)</f>
        <v/>
      </c>
      <c r="O14" s="272" t="str">
        <f>IF(ISBLANK(H14),"",J14-L14)</f>
        <v/>
      </c>
      <c r="P14" s="272">
        <f>SUM(P15:P35)</f>
        <v>160113.20860000001</v>
      </c>
      <c r="Q14" s="347"/>
      <c r="R14" s="333"/>
      <c r="T14" s="218" t="s">
        <v>1216</v>
      </c>
    </row>
    <row r="15" spans="2:20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46.4</v>
      </c>
      <c r="I15" s="61">
        <v>40.770000000000003</v>
      </c>
      <c r="J15" s="60">
        <v>1891.7</v>
      </c>
      <c r="K15" s="68">
        <f>ROUND(42.3/42.2*T15-T15,2)</f>
        <v>0.11</v>
      </c>
      <c r="L15" s="69">
        <f>I15</f>
        <v>40.770000000000003</v>
      </c>
      <c r="M15" s="273">
        <f>K15*L15</f>
        <v>4.4847000000000001</v>
      </c>
      <c r="N15" s="71">
        <f>H15+K15</f>
        <v>46.51</v>
      </c>
      <c r="O15" s="72">
        <f>I15</f>
        <v>40.770000000000003</v>
      </c>
      <c r="P15" s="274">
        <f>N15*O15</f>
        <v>1896.2127</v>
      </c>
      <c r="R15" s="194"/>
      <c r="T15" s="121">
        <f>ROUND(42.2/40.96*H15,2)</f>
        <v>47.8</v>
      </c>
    </row>
    <row r="16" spans="2:20" s="121" customFormat="1" ht="16.5" customHeight="1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88.58</v>
      </c>
      <c r="I16" s="61">
        <v>55.24</v>
      </c>
      <c r="J16" s="60">
        <v>4893.2</v>
      </c>
      <c r="K16" s="68">
        <v>0</v>
      </c>
      <c r="L16" s="69">
        <f t="shared" ref="L16:L79" si="0">I16</f>
        <v>55.24</v>
      </c>
      <c r="M16" s="273">
        <f t="shared" ref="M16:M79" si="1">K16*L16</f>
        <v>0</v>
      </c>
      <c r="N16" s="71">
        <f t="shared" ref="N16:N79" si="2">H16+K16</f>
        <v>88.58</v>
      </c>
      <c r="O16" s="72">
        <f t="shared" ref="O16:O79" si="3">I16</f>
        <v>55.24</v>
      </c>
      <c r="P16" s="274">
        <f t="shared" ref="P16:P79" si="4">N16*O16</f>
        <v>4893.1592000000001</v>
      </c>
      <c r="R16" s="194"/>
      <c r="T16" s="121">
        <f t="shared" ref="T16:T79" si="5">ROUND(42.2/40.96*H16,2)</f>
        <v>91.26</v>
      </c>
    </row>
    <row r="17" spans="2:20" s="121" customFormat="1" ht="16.5" customHeight="1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46.4</v>
      </c>
      <c r="I17" s="61">
        <v>151.25</v>
      </c>
      <c r="J17" s="60">
        <v>7018</v>
      </c>
      <c r="K17" s="68">
        <v>0</v>
      </c>
      <c r="L17" s="69">
        <f t="shared" si="0"/>
        <v>151.25</v>
      </c>
      <c r="M17" s="273">
        <f t="shared" si="1"/>
        <v>0</v>
      </c>
      <c r="N17" s="71">
        <f t="shared" si="2"/>
        <v>46.4</v>
      </c>
      <c r="O17" s="72">
        <f t="shared" si="3"/>
        <v>151.25</v>
      </c>
      <c r="P17" s="274">
        <f t="shared" si="4"/>
        <v>7018</v>
      </c>
      <c r="R17" s="194"/>
      <c r="T17" s="121">
        <f t="shared" si="5"/>
        <v>47.8</v>
      </c>
    </row>
    <row r="18" spans="2:20" s="121" customFormat="1" ht="16.5" customHeight="1" x14ac:dyDescent="0.2">
      <c r="B18" s="120"/>
      <c r="C18" s="56" t="s">
        <v>105</v>
      </c>
      <c r="D18" s="56" t="s">
        <v>96</v>
      </c>
      <c r="E18" s="57" t="s">
        <v>142</v>
      </c>
      <c r="F18" s="58" t="s">
        <v>143</v>
      </c>
      <c r="G18" s="59" t="s">
        <v>133</v>
      </c>
      <c r="H18" s="60">
        <v>1.1000000000000001</v>
      </c>
      <c r="I18" s="61">
        <v>170.98</v>
      </c>
      <c r="J18" s="60">
        <v>188.1</v>
      </c>
      <c r="K18" s="68">
        <f t="shared" ref="K18:K38" si="6">ROUND(42.3/42.2*T18-T18,2)</f>
        <v>0</v>
      </c>
      <c r="L18" s="69">
        <f t="shared" si="0"/>
        <v>170.98</v>
      </c>
      <c r="M18" s="273">
        <f t="shared" si="1"/>
        <v>0</v>
      </c>
      <c r="N18" s="71">
        <f t="shared" si="2"/>
        <v>1.1000000000000001</v>
      </c>
      <c r="O18" s="72">
        <f t="shared" si="3"/>
        <v>170.98</v>
      </c>
      <c r="P18" s="274">
        <f t="shared" si="4"/>
        <v>188.078</v>
      </c>
      <c r="R18" s="194"/>
      <c r="T18" s="121">
        <f t="shared" si="5"/>
        <v>1.1299999999999999</v>
      </c>
    </row>
    <row r="19" spans="2:20" s="121" customFormat="1" ht="16.5" customHeight="1" x14ac:dyDescent="0.2">
      <c r="B19" s="120"/>
      <c r="C19" s="56" t="s">
        <v>109</v>
      </c>
      <c r="D19" s="56" t="s">
        <v>96</v>
      </c>
      <c r="E19" s="57" t="s">
        <v>145</v>
      </c>
      <c r="F19" s="58" t="s">
        <v>146</v>
      </c>
      <c r="G19" s="59" t="s">
        <v>133</v>
      </c>
      <c r="H19" s="60">
        <v>1.1000000000000001</v>
      </c>
      <c r="I19" s="61">
        <v>147.30000000000001</v>
      </c>
      <c r="J19" s="60">
        <v>162</v>
      </c>
      <c r="K19" s="68">
        <f t="shared" si="6"/>
        <v>0</v>
      </c>
      <c r="L19" s="69">
        <f t="shared" si="0"/>
        <v>147.30000000000001</v>
      </c>
      <c r="M19" s="273">
        <f t="shared" si="1"/>
        <v>0</v>
      </c>
      <c r="N19" s="71">
        <f t="shared" si="2"/>
        <v>1.1000000000000001</v>
      </c>
      <c r="O19" s="72">
        <f t="shared" si="3"/>
        <v>147.30000000000001</v>
      </c>
      <c r="P19" s="274">
        <f t="shared" si="4"/>
        <v>162.03000000000003</v>
      </c>
      <c r="R19" s="194"/>
      <c r="T19" s="121">
        <f t="shared" si="5"/>
        <v>1.1299999999999999</v>
      </c>
    </row>
    <row r="20" spans="2:20" s="121" customFormat="1" ht="16.5" customHeight="1" x14ac:dyDescent="0.2">
      <c r="B20" s="120"/>
      <c r="C20" s="56" t="s">
        <v>112</v>
      </c>
      <c r="D20" s="56" t="s">
        <v>96</v>
      </c>
      <c r="E20" s="57" t="s">
        <v>155</v>
      </c>
      <c r="F20" s="58" t="s">
        <v>156</v>
      </c>
      <c r="G20" s="59" t="s">
        <v>150</v>
      </c>
      <c r="H20" s="60">
        <v>4.51</v>
      </c>
      <c r="I20" s="61">
        <v>257.77999999999997</v>
      </c>
      <c r="J20" s="60">
        <v>1162.5999999999999</v>
      </c>
      <c r="K20" s="68">
        <f t="shared" si="6"/>
        <v>0.01</v>
      </c>
      <c r="L20" s="69">
        <f t="shared" si="0"/>
        <v>257.77999999999997</v>
      </c>
      <c r="M20" s="273">
        <f t="shared" si="1"/>
        <v>2.5777999999999999</v>
      </c>
      <c r="N20" s="71">
        <f t="shared" si="2"/>
        <v>4.5199999999999996</v>
      </c>
      <c r="O20" s="72">
        <f t="shared" si="3"/>
        <v>257.77999999999997</v>
      </c>
      <c r="P20" s="274">
        <f t="shared" si="4"/>
        <v>1165.1655999999998</v>
      </c>
      <c r="R20" s="194"/>
      <c r="T20" s="121">
        <f t="shared" si="5"/>
        <v>4.6500000000000004</v>
      </c>
    </row>
    <row r="21" spans="2:20" s="121" customFormat="1" ht="16.5" customHeight="1" x14ac:dyDescent="0.2">
      <c r="B21" s="120"/>
      <c r="C21" s="56" t="s">
        <v>115</v>
      </c>
      <c r="D21" s="56" t="s">
        <v>96</v>
      </c>
      <c r="E21" s="57" t="s">
        <v>157</v>
      </c>
      <c r="F21" s="58" t="s">
        <v>158</v>
      </c>
      <c r="G21" s="59" t="s">
        <v>150</v>
      </c>
      <c r="H21" s="60">
        <v>43.42</v>
      </c>
      <c r="I21" s="61">
        <v>257.77999999999997</v>
      </c>
      <c r="J21" s="60">
        <v>11192.8</v>
      </c>
      <c r="K21" s="68">
        <f t="shared" si="6"/>
        <v>0.11</v>
      </c>
      <c r="L21" s="69">
        <f t="shared" si="0"/>
        <v>257.77999999999997</v>
      </c>
      <c r="M21" s="273">
        <f t="shared" si="1"/>
        <v>28.355799999999999</v>
      </c>
      <c r="N21" s="71">
        <f t="shared" si="2"/>
        <v>43.53</v>
      </c>
      <c r="O21" s="72">
        <f t="shared" si="3"/>
        <v>257.77999999999997</v>
      </c>
      <c r="P21" s="274">
        <f t="shared" si="4"/>
        <v>11221.163399999999</v>
      </c>
      <c r="R21" s="194"/>
      <c r="T21" s="121">
        <f t="shared" si="5"/>
        <v>44.73</v>
      </c>
    </row>
    <row r="22" spans="2:20" s="121" customFormat="1" ht="16.5" customHeight="1" x14ac:dyDescent="0.2">
      <c r="B22" s="120"/>
      <c r="C22" s="56" t="s">
        <v>118</v>
      </c>
      <c r="D22" s="56" t="s">
        <v>96</v>
      </c>
      <c r="E22" s="57" t="s">
        <v>160</v>
      </c>
      <c r="F22" s="58" t="s">
        <v>161</v>
      </c>
      <c r="G22" s="59" t="s">
        <v>150</v>
      </c>
      <c r="H22" s="60">
        <v>13.03</v>
      </c>
      <c r="I22" s="61">
        <v>13.15</v>
      </c>
      <c r="J22" s="60">
        <v>171.3</v>
      </c>
      <c r="K22" s="68">
        <f t="shared" si="6"/>
        <v>0.03</v>
      </c>
      <c r="L22" s="69">
        <f t="shared" si="0"/>
        <v>13.15</v>
      </c>
      <c r="M22" s="273">
        <f t="shared" si="1"/>
        <v>0.39450000000000002</v>
      </c>
      <c r="N22" s="71">
        <f t="shared" si="2"/>
        <v>13.059999999999999</v>
      </c>
      <c r="O22" s="72">
        <f t="shared" si="3"/>
        <v>13.15</v>
      </c>
      <c r="P22" s="274">
        <f t="shared" si="4"/>
        <v>171.73899999999998</v>
      </c>
      <c r="R22" s="194"/>
      <c r="T22" s="121">
        <f t="shared" si="5"/>
        <v>13.42</v>
      </c>
    </row>
    <row r="23" spans="2:20" s="121" customFormat="1" ht="16.5" customHeight="1" x14ac:dyDescent="0.2">
      <c r="B23" s="120"/>
      <c r="C23" s="56" t="s">
        <v>121</v>
      </c>
      <c r="D23" s="56" t="s">
        <v>96</v>
      </c>
      <c r="E23" s="57" t="s">
        <v>163</v>
      </c>
      <c r="F23" s="58" t="s">
        <v>164</v>
      </c>
      <c r="G23" s="59" t="s">
        <v>150</v>
      </c>
      <c r="H23" s="60">
        <v>28.52</v>
      </c>
      <c r="I23" s="61">
        <v>315.64999999999998</v>
      </c>
      <c r="J23" s="60">
        <v>9002.2999999999993</v>
      </c>
      <c r="K23" s="68">
        <f t="shared" si="6"/>
        <v>7.0000000000000007E-2</v>
      </c>
      <c r="L23" s="69">
        <f t="shared" si="0"/>
        <v>315.64999999999998</v>
      </c>
      <c r="M23" s="273">
        <f t="shared" si="1"/>
        <v>22.095500000000001</v>
      </c>
      <c r="N23" s="71">
        <f t="shared" si="2"/>
        <v>28.59</v>
      </c>
      <c r="O23" s="72">
        <f t="shared" si="3"/>
        <v>315.64999999999998</v>
      </c>
      <c r="P23" s="274">
        <f t="shared" si="4"/>
        <v>9024.4334999999992</v>
      </c>
      <c r="R23" s="194"/>
      <c r="T23" s="121">
        <f t="shared" si="5"/>
        <v>29.38</v>
      </c>
    </row>
    <row r="24" spans="2:20" s="121" customFormat="1" ht="16.5" customHeight="1" x14ac:dyDescent="0.2">
      <c r="B24" s="120"/>
      <c r="C24" s="56" t="s">
        <v>124</v>
      </c>
      <c r="D24" s="56" t="s">
        <v>96</v>
      </c>
      <c r="E24" s="57" t="s">
        <v>166</v>
      </c>
      <c r="F24" s="58" t="s">
        <v>167</v>
      </c>
      <c r="G24" s="59" t="s">
        <v>150</v>
      </c>
      <c r="H24" s="60">
        <v>8.56</v>
      </c>
      <c r="I24" s="61">
        <v>15.78</v>
      </c>
      <c r="J24" s="60">
        <v>135.1</v>
      </c>
      <c r="K24" s="68">
        <f t="shared" si="6"/>
        <v>0.02</v>
      </c>
      <c r="L24" s="69">
        <f t="shared" si="0"/>
        <v>15.78</v>
      </c>
      <c r="M24" s="273">
        <f t="shared" si="1"/>
        <v>0.31559999999999999</v>
      </c>
      <c r="N24" s="71">
        <f t="shared" si="2"/>
        <v>8.58</v>
      </c>
      <c r="O24" s="72">
        <f t="shared" si="3"/>
        <v>15.78</v>
      </c>
      <c r="P24" s="274">
        <f t="shared" si="4"/>
        <v>135.39240000000001</v>
      </c>
      <c r="R24" s="194"/>
      <c r="T24" s="121">
        <f t="shared" si="5"/>
        <v>8.82</v>
      </c>
    </row>
    <row r="25" spans="2:20" s="121" customFormat="1" ht="16.5" customHeight="1" x14ac:dyDescent="0.2">
      <c r="B25" s="120"/>
      <c r="C25" s="56" t="s">
        <v>127</v>
      </c>
      <c r="D25" s="56" t="s">
        <v>96</v>
      </c>
      <c r="E25" s="57" t="s">
        <v>172</v>
      </c>
      <c r="F25" s="58" t="s">
        <v>173</v>
      </c>
      <c r="G25" s="59" t="s">
        <v>150</v>
      </c>
      <c r="H25" s="60">
        <v>18.32</v>
      </c>
      <c r="I25" s="61">
        <v>1116.6199999999999</v>
      </c>
      <c r="J25" s="60">
        <v>20456.5</v>
      </c>
      <c r="K25" s="68">
        <f t="shared" si="6"/>
        <v>0.04</v>
      </c>
      <c r="L25" s="69">
        <f t="shared" si="0"/>
        <v>1116.6199999999999</v>
      </c>
      <c r="M25" s="273">
        <f t="shared" si="1"/>
        <v>44.6648</v>
      </c>
      <c r="N25" s="71">
        <f t="shared" si="2"/>
        <v>18.36</v>
      </c>
      <c r="O25" s="72">
        <f t="shared" si="3"/>
        <v>1116.6199999999999</v>
      </c>
      <c r="P25" s="274">
        <f t="shared" si="4"/>
        <v>20501.143199999999</v>
      </c>
      <c r="R25" s="194"/>
      <c r="T25" s="121">
        <f t="shared" si="5"/>
        <v>18.87</v>
      </c>
    </row>
    <row r="26" spans="2:20" s="121" customFormat="1" ht="16.5" customHeight="1" x14ac:dyDescent="0.2">
      <c r="B26" s="120"/>
      <c r="C26" s="56" t="s">
        <v>130</v>
      </c>
      <c r="D26" s="56" t="s">
        <v>96</v>
      </c>
      <c r="E26" s="57" t="s">
        <v>175</v>
      </c>
      <c r="F26" s="58" t="s">
        <v>176</v>
      </c>
      <c r="G26" s="59" t="s">
        <v>108</v>
      </c>
      <c r="H26" s="60">
        <v>187.24</v>
      </c>
      <c r="I26" s="61">
        <v>99.96</v>
      </c>
      <c r="J26" s="60">
        <v>18716.5</v>
      </c>
      <c r="K26" s="68">
        <f t="shared" si="6"/>
        <v>0.46</v>
      </c>
      <c r="L26" s="69">
        <f t="shared" si="0"/>
        <v>99.96</v>
      </c>
      <c r="M26" s="273">
        <f t="shared" si="1"/>
        <v>45.9816</v>
      </c>
      <c r="N26" s="71">
        <f t="shared" si="2"/>
        <v>187.70000000000002</v>
      </c>
      <c r="O26" s="72">
        <f t="shared" si="3"/>
        <v>99.96</v>
      </c>
      <c r="P26" s="274">
        <f t="shared" si="4"/>
        <v>18762.492000000002</v>
      </c>
      <c r="R26" s="194"/>
      <c r="T26" s="121">
        <f t="shared" si="5"/>
        <v>192.91</v>
      </c>
    </row>
    <row r="27" spans="2:20" s="121" customFormat="1" ht="16.5" customHeight="1" x14ac:dyDescent="0.2">
      <c r="B27" s="120"/>
      <c r="C27" s="56" t="s">
        <v>134</v>
      </c>
      <c r="D27" s="56" t="s">
        <v>96</v>
      </c>
      <c r="E27" s="57" t="s">
        <v>181</v>
      </c>
      <c r="F27" s="58" t="s">
        <v>182</v>
      </c>
      <c r="G27" s="59" t="s">
        <v>108</v>
      </c>
      <c r="H27" s="60">
        <v>187.24</v>
      </c>
      <c r="I27" s="61">
        <v>149.94</v>
      </c>
      <c r="J27" s="60">
        <v>28074.799999999999</v>
      </c>
      <c r="K27" s="68">
        <f t="shared" si="6"/>
        <v>0.46</v>
      </c>
      <c r="L27" s="69">
        <f t="shared" si="0"/>
        <v>149.94</v>
      </c>
      <c r="M27" s="273">
        <f t="shared" si="1"/>
        <v>68.972400000000007</v>
      </c>
      <c r="N27" s="71">
        <f t="shared" si="2"/>
        <v>187.70000000000002</v>
      </c>
      <c r="O27" s="72">
        <f t="shared" si="3"/>
        <v>149.94</v>
      </c>
      <c r="P27" s="274">
        <f t="shared" si="4"/>
        <v>28143.738000000001</v>
      </c>
      <c r="R27" s="194"/>
      <c r="T27" s="121">
        <f t="shared" si="5"/>
        <v>192.91</v>
      </c>
    </row>
    <row r="28" spans="2:20" s="121" customFormat="1" ht="16.5" customHeight="1" x14ac:dyDescent="0.2">
      <c r="B28" s="120"/>
      <c r="C28" s="56" t="s">
        <v>2</v>
      </c>
      <c r="D28" s="56" t="s">
        <v>96</v>
      </c>
      <c r="E28" s="57" t="s">
        <v>187</v>
      </c>
      <c r="F28" s="58" t="s">
        <v>188</v>
      </c>
      <c r="G28" s="59" t="s">
        <v>150</v>
      </c>
      <c r="H28" s="60">
        <v>145.76</v>
      </c>
      <c r="I28" s="61">
        <v>97.26</v>
      </c>
      <c r="J28" s="60">
        <v>14176.6</v>
      </c>
      <c r="K28" s="68">
        <f t="shared" si="6"/>
        <v>0.36</v>
      </c>
      <c r="L28" s="69">
        <f t="shared" si="0"/>
        <v>97.26</v>
      </c>
      <c r="M28" s="273">
        <f t="shared" si="1"/>
        <v>35.013600000000004</v>
      </c>
      <c r="N28" s="71">
        <f t="shared" si="2"/>
        <v>146.12</v>
      </c>
      <c r="O28" s="72">
        <f t="shared" si="3"/>
        <v>97.26</v>
      </c>
      <c r="P28" s="274">
        <f t="shared" si="4"/>
        <v>14211.631200000002</v>
      </c>
      <c r="R28" s="194"/>
      <c r="T28" s="121">
        <f t="shared" si="5"/>
        <v>150.16999999999999</v>
      </c>
    </row>
    <row r="29" spans="2:20" s="121" customFormat="1" ht="16.5" customHeight="1" x14ac:dyDescent="0.2">
      <c r="B29" s="120"/>
      <c r="C29" s="56" t="s">
        <v>141</v>
      </c>
      <c r="D29" s="56" t="s">
        <v>96</v>
      </c>
      <c r="E29" s="57" t="s">
        <v>190</v>
      </c>
      <c r="F29" s="58" t="s">
        <v>191</v>
      </c>
      <c r="G29" s="59" t="s">
        <v>150</v>
      </c>
      <c r="H29" s="60">
        <v>34.76</v>
      </c>
      <c r="I29" s="61">
        <v>247.39</v>
      </c>
      <c r="J29" s="60">
        <v>8599.2999999999993</v>
      </c>
      <c r="K29" s="68">
        <f t="shared" si="6"/>
        <v>0.08</v>
      </c>
      <c r="L29" s="69">
        <f t="shared" si="0"/>
        <v>247.39</v>
      </c>
      <c r="M29" s="273">
        <f t="shared" si="1"/>
        <v>19.7912</v>
      </c>
      <c r="N29" s="71">
        <f t="shared" si="2"/>
        <v>34.839999999999996</v>
      </c>
      <c r="O29" s="72">
        <f t="shared" si="3"/>
        <v>247.39</v>
      </c>
      <c r="P29" s="274">
        <f t="shared" si="4"/>
        <v>8619.0675999999985</v>
      </c>
      <c r="R29" s="194"/>
      <c r="T29" s="121">
        <f t="shared" si="5"/>
        <v>35.81</v>
      </c>
    </row>
    <row r="30" spans="2:20" s="121" customFormat="1" ht="16.5" customHeight="1" x14ac:dyDescent="0.2">
      <c r="B30" s="120"/>
      <c r="C30" s="56" t="s">
        <v>144</v>
      </c>
      <c r="D30" s="56" t="s">
        <v>96</v>
      </c>
      <c r="E30" s="57" t="s">
        <v>193</v>
      </c>
      <c r="F30" s="58" t="s">
        <v>194</v>
      </c>
      <c r="G30" s="59" t="s">
        <v>150</v>
      </c>
      <c r="H30" s="60">
        <v>34.76</v>
      </c>
      <c r="I30" s="61">
        <v>44.72</v>
      </c>
      <c r="J30" s="60">
        <v>1554.5</v>
      </c>
      <c r="K30" s="68">
        <f t="shared" si="6"/>
        <v>0.08</v>
      </c>
      <c r="L30" s="69">
        <f t="shared" si="0"/>
        <v>44.72</v>
      </c>
      <c r="M30" s="273">
        <f t="shared" si="1"/>
        <v>3.5775999999999999</v>
      </c>
      <c r="N30" s="71">
        <f t="shared" si="2"/>
        <v>34.839999999999996</v>
      </c>
      <c r="O30" s="72">
        <f t="shared" si="3"/>
        <v>44.72</v>
      </c>
      <c r="P30" s="274">
        <f t="shared" si="4"/>
        <v>1558.0447999999999</v>
      </c>
      <c r="R30" s="194"/>
      <c r="T30" s="121">
        <f t="shared" si="5"/>
        <v>35.81</v>
      </c>
    </row>
    <row r="31" spans="2:20" s="121" customFormat="1" ht="16.5" customHeight="1" x14ac:dyDescent="0.2">
      <c r="B31" s="120"/>
      <c r="C31" s="56" t="s">
        <v>147</v>
      </c>
      <c r="D31" s="56" t="s">
        <v>96</v>
      </c>
      <c r="E31" s="57" t="s">
        <v>196</v>
      </c>
      <c r="F31" s="58" t="s">
        <v>197</v>
      </c>
      <c r="G31" s="59" t="s">
        <v>150</v>
      </c>
      <c r="H31" s="60">
        <v>34.76</v>
      </c>
      <c r="I31" s="61">
        <v>11.84</v>
      </c>
      <c r="J31" s="60">
        <v>411.6</v>
      </c>
      <c r="K31" s="68">
        <f t="shared" si="6"/>
        <v>0.08</v>
      </c>
      <c r="L31" s="69">
        <f t="shared" si="0"/>
        <v>11.84</v>
      </c>
      <c r="M31" s="273">
        <f t="shared" si="1"/>
        <v>0.94720000000000004</v>
      </c>
      <c r="N31" s="71">
        <f t="shared" si="2"/>
        <v>34.839999999999996</v>
      </c>
      <c r="O31" s="72">
        <f t="shared" si="3"/>
        <v>11.84</v>
      </c>
      <c r="P31" s="274">
        <f t="shared" si="4"/>
        <v>412.50559999999996</v>
      </c>
      <c r="R31" s="194"/>
      <c r="T31" s="121">
        <f t="shared" si="5"/>
        <v>35.81</v>
      </c>
    </row>
    <row r="32" spans="2:20" s="121" customFormat="1" ht="16.5" customHeight="1" x14ac:dyDescent="0.2">
      <c r="B32" s="120"/>
      <c r="C32" s="56" t="s">
        <v>151</v>
      </c>
      <c r="D32" s="56" t="s">
        <v>96</v>
      </c>
      <c r="E32" s="57" t="s">
        <v>199</v>
      </c>
      <c r="F32" s="58" t="s">
        <v>200</v>
      </c>
      <c r="G32" s="59" t="s">
        <v>201</v>
      </c>
      <c r="H32" s="60">
        <v>69.52</v>
      </c>
      <c r="I32" s="61">
        <v>116</v>
      </c>
      <c r="J32" s="60">
        <v>8064.3</v>
      </c>
      <c r="K32" s="68">
        <f t="shared" si="6"/>
        <v>0.17</v>
      </c>
      <c r="L32" s="69">
        <f t="shared" si="0"/>
        <v>116</v>
      </c>
      <c r="M32" s="273">
        <f t="shared" si="1"/>
        <v>19.720000000000002</v>
      </c>
      <c r="N32" s="71">
        <f t="shared" si="2"/>
        <v>69.69</v>
      </c>
      <c r="O32" s="72">
        <f t="shared" si="3"/>
        <v>116</v>
      </c>
      <c r="P32" s="274">
        <f t="shared" si="4"/>
        <v>8084.04</v>
      </c>
      <c r="R32" s="194"/>
      <c r="T32" s="121">
        <f t="shared" si="5"/>
        <v>71.62</v>
      </c>
    </row>
    <row r="33" spans="2:20" s="121" customFormat="1" ht="16.5" customHeight="1" x14ac:dyDescent="0.2">
      <c r="B33" s="120"/>
      <c r="C33" s="56" t="s">
        <v>154</v>
      </c>
      <c r="D33" s="56" t="s">
        <v>96</v>
      </c>
      <c r="E33" s="57" t="s">
        <v>203</v>
      </c>
      <c r="F33" s="58" t="s">
        <v>204</v>
      </c>
      <c r="G33" s="59" t="s">
        <v>150</v>
      </c>
      <c r="H33" s="60">
        <v>55.5</v>
      </c>
      <c r="I33" s="61">
        <v>143.36000000000001</v>
      </c>
      <c r="J33" s="60">
        <v>7956.5</v>
      </c>
      <c r="K33" s="68">
        <f t="shared" si="6"/>
        <v>0.14000000000000001</v>
      </c>
      <c r="L33" s="69">
        <f t="shared" si="0"/>
        <v>143.36000000000001</v>
      </c>
      <c r="M33" s="273">
        <f t="shared" si="1"/>
        <v>20.070400000000003</v>
      </c>
      <c r="N33" s="71">
        <f t="shared" si="2"/>
        <v>55.64</v>
      </c>
      <c r="O33" s="72">
        <f t="shared" si="3"/>
        <v>143.36000000000001</v>
      </c>
      <c r="P33" s="274">
        <f t="shared" si="4"/>
        <v>7976.550400000001</v>
      </c>
      <c r="R33" s="194"/>
      <c r="T33" s="121">
        <f t="shared" si="5"/>
        <v>57.18</v>
      </c>
    </row>
    <row r="34" spans="2:20" s="121" customFormat="1" ht="16.5" customHeight="1" x14ac:dyDescent="0.2">
      <c r="B34" s="120"/>
      <c r="C34" s="56" t="s">
        <v>1</v>
      </c>
      <c r="D34" s="56" t="s">
        <v>96</v>
      </c>
      <c r="E34" s="57" t="s">
        <v>206</v>
      </c>
      <c r="F34" s="58" t="s">
        <v>207</v>
      </c>
      <c r="G34" s="59" t="s">
        <v>150</v>
      </c>
      <c r="H34" s="60">
        <v>24</v>
      </c>
      <c r="I34" s="61">
        <v>318.27999999999997</v>
      </c>
      <c r="J34" s="60">
        <v>7638.7</v>
      </c>
      <c r="K34" s="68">
        <f t="shared" si="6"/>
        <v>0.06</v>
      </c>
      <c r="L34" s="69">
        <f t="shared" si="0"/>
        <v>318.27999999999997</v>
      </c>
      <c r="M34" s="273">
        <f t="shared" si="1"/>
        <v>19.096799999999998</v>
      </c>
      <c r="N34" s="71">
        <f t="shared" si="2"/>
        <v>24.06</v>
      </c>
      <c r="O34" s="72">
        <f t="shared" si="3"/>
        <v>318.27999999999997</v>
      </c>
      <c r="P34" s="274">
        <f t="shared" si="4"/>
        <v>7657.8167999999987</v>
      </c>
      <c r="R34" s="194"/>
      <c r="T34" s="121">
        <f t="shared" si="5"/>
        <v>24.73</v>
      </c>
    </row>
    <row r="35" spans="2:20" s="121" customFormat="1" ht="16.5" customHeight="1" x14ac:dyDescent="0.2">
      <c r="B35" s="120"/>
      <c r="C35" s="73" t="s">
        <v>159</v>
      </c>
      <c r="D35" s="73" t="s">
        <v>209</v>
      </c>
      <c r="E35" s="74" t="s">
        <v>210</v>
      </c>
      <c r="F35" s="75" t="s">
        <v>211</v>
      </c>
      <c r="G35" s="76" t="s">
        <v>201</v>
      </c>
      <c r="H35" s="77">
        <v>48</v>
      </c>
      <c r="I35" s="78">
        <v>172.71</v>
      </c>
      <c r="J35" s="77">
        <v>8290.1</v>
      </c>
      <c r="K35" s="68">
        <f t="shared" si="6"/>
        <v>0.12</v>
      </c>
      <c r="L35" s="69">
        <f t="shared" si="0"/>
        <v>172.71</v>
      </c>
      <c r="M35" s="273">
        <f t="shared" si="1"/>
        <v>20.725200000000001</v>
      </c>
      <c r="N35" s="71">
        <f t="shared" si="2"/>
        <v>48.12</v>
      </c>
      <c r="O35" s="72">
        <f t="shared" si="3"/>
        <v>172.71</v>
      </c>
      <c r="P35" s="274">
        <f t="shared" si="4"/>
        <v>8310.8052000000007</v>
      </c>
      <c r="R35" s="194"/>
      <c r="T35" s="121">
        <f t="shared" si="5"/>
        <v>49.45</v>
      </c>
    </row>
    <row r="36" spans="2:20" s="170" customFormat="1" ht="22.9" customHeight="1" x14ac:dyDescent="0.2">
      <c r="B36" s="165"/>
      <c r="C36" s="252"/>
      <c r="D36" s="253" t="s">
        <v>4</v>
      </c>
      <c r="E36" s="254" t="s">
        <v>13</v>
      </c>
      <c r="F36" s="254" t="s">
        <v>222</v>
      </c>
      <c r="G36" s="252"/>
      <c r="H36" s="252"/>
      <c r="I36" s="255"/>
      <c r="J36" s="256">
        <f>+SUBTOTAL(9,J37:J38)</f>
        <v>1616.3</v>
      </c>
      <c r="K36" s="261"/>
      <c r="L36" s="262"/>
      <c r="M36" s="279">
        <f>SUM(M37:M38)</f>
        <v>3.9460000000000002</v>
      </c>
      <c r="N36" s="280"/>
      <c r="O36" s="262"/>
      <c r="P36" s="279">
        <f>SUM(P37:P38)</f>
        <v>1620.2276000000002</v>
      </c>
      <c r="Q36" s="121"/>
      <c r="R36" s="194"/>
      <c r="T36" s="121">
        <f t="shared" si="5"/>
        <v>0</v>
      </c>
    </row>
    <row r="37" spans="2:20" s="121" customFormat="1" ht="16.5" customHeight="1" x14ac:dyDescent="0.2">
      <c r="B37" s="120"/>
      <c r="C37" s="56" t="s">
        <v>162</v>
      </c>
      <c r="D37" s="56" t="s">
        <v>96</v>
      </c>
      <c r="E37" s="57" t="s">
        <v>224</v>
      </c>
      <c r="F37" s="58" t="s">
        <v>225</v>
      </c>
      <c r="G37" s="59" t="s">
        <v>133</v>
      </c>
      <c r="H37" s="60">
        <v>40.96</v>
      </c>
      <c r="I37" s="61">
        <v>32.880000000000003</v>
      </c>
      <c r="J37" s="60">
        <v>1346.8</v>
      </c>
      <c r="K37" s="68">
        <f t="shared" si="6"/>
        <v>0.1</v>
      </c>
      <c r="L37" s="69">
        <f t="shared" si="0"/>
        <v>32.880000000000003</v>
      </c>
      <c r="M37" s="273">
        <f t="shared" si="1"/>
        <v>3.2880000000000003</v>
      </c>
      <c r="N37" s="71">
        <f t="shared" si="2"/>
        <v>41.06</v>
      </c>
      <c r="O37" s="72">
        <f t="shared" si="3"/>
        <v>32.880000000000003</v>
      </c>
      <c r="P37" s="274">
        <f t="shared" si="4"/>
        <v>1350.0528000000002</v>
      </c>
      <c r="R37" s="194"/>
      <c r="T37" s="121">
        <f t="shared" si="5"/>
        <v>42.2</v>
      </c>
    </row>
    <row r="38" spans="2:20" s="121" customFormat="1" ht="16.5" customHeight="1" x14ac:dyDescent="0.2">
      <c r="B38" s="120"/>
      <c r="C38" s="56" t="s">
        <v>165</v>
      </c>
      <c r="D38" s="56" t="s">
        <v>96</v>
      </c>
      <c r="E38" s="57" t="s">
        <v>227</v>
      </c>
      <c r="F38" s="58" t="s">
        <v>228</v>
      </c>
      <c r="G38" s="59" t="s">
        <v>133</v>
      </c>
      <c r="H38" s="60">
        <v>40.96</v>
      </c>
      <c r="I38" s="61">
        <v>6.58</v>
      </c>
      <c r="J38" s="60">
        <v>269.5</v>
      </c>
      <c r="K38" s="68">
        <f t="shared" si="6"/>
        <v>0.1</v>
      </c>
      <c r="L38" s="69">
        <f t="shared" si="0"/>
        <v>6.58</v>
      </c>
      <c r="M38" s="273">
        <f t="shared" si="1"/>
        <v>0.65800000000000003</v>
      </c>
      <c r="N38" s="71">
        <f t="shared" si="2"/>
        <v>41.06</v>
      </c>
      <c r="O38" s="72">
        <f t="shared" si="3"/>
        <v>6.58</v>
      </c>
      <c r="P38" s="274">
        <f t="shared" si="4"/>
        <v>270.1748</v>
      </c>
      <c r="R38" s="194"/>
      <c r="T38" s="121">
        <f t="shared" si="5"/>
        <v>42.2</v>
      </c>
    </row>
    <row r="39" spans="2:20" s="170" customFormat="1" ht="22.9" customHeight="1" x14ac:dyDescent="0.2">
      <c r="B39" s="165"/>
      <c r="C39" s="252"/>
      <c r="D39" s="253" t="s">
        <v>4</v>
      </c>
      <c r="E39" s="254" t="s">
        <v>100</v>
      </c>
      <c r="F39" s="254" t="s">
        <v>229</v>
      </c>
      <c r="G39" s="252"/>
      <c r="H39" s="252"/>
      <c r="I39" s="255"/>
      <c r="J39" s="256">
        <f>+SUBTOTAL(9,J40:J45)</f>
        <v>19705.3</v>
      </c>
      <c r="K39" s="261"/>
      <c r="L39" s="262"/>
      <c r="M39" s="279">
        <f>SUM(M40:M45)</f>
        <v>32.391599999999997</v>
      </c>
      <c r="N39" s="280"/>
      <c r="O39" s="262"/>
      <c r="P39" s="279">
        <f>SUM(P40:P45)</f>
        <v>19737.755799999995</v>
      </c>
      <c r="Q39" s="121"/>
      <c r="R39" s="194"/>
      <c r="T39" s="121">
        <f t="shared" si="5"/>
        <v>0</v>
      </c>
    </row>
    <row r="40" spans="2:20" s="121" customFormat="1" ht="16.5" customHeight="1" x14ac:dyDescent="0.2">
      <c r="B40" s="120"/>
      <c r="C40" s="56" t="s">
        <v>168</v>
      </c>
      <c r="D40" s="56" t="s">
        <v>96</v>
      </c>
      <c r="E40" s="57" t="s">
        <v>231</v>
      </c>
      <c r="F40" s="58" t="s">
        <v>232</v>
      </c>
      <c r="G40" s="59" t="s">
        <v>99</v>
      </c>
      <c r="H40" s="60">
        <v>1</v>
      </c>
      <c r="I40" s="61">
        <v>122.32</v>
      </c>
      <c r="J40" s="60">
        <v>122.3</v>
      </c>
      <c r="K40" s="68">
        <v>0</v>
      </c>
      <c r="L40" s="69">
        <f t="shared" si="0"/>
        <v>122.32</v>
      </c>
      <c r="M40" s="273">
        <f t="shared" si="1"/>
        <v>0</v>
      </c>
      <c r="N40" s="71">
        <f t="shared" si="2"/>
        <v>1</v>
      </c>
      <c r="O40" s="72">
        <f t="shared" si="3"/>
        <v>122.32</v>
      </c>
      <c r="P40" s="274">
        <f t="shared" si="4"/>
        <v>122.32</v>
      </c>
      <c r="R40" s="194"/>
      <c r="T40" s="121">
        <f t="shared" si="5"/>
        <v>1.03</v>
      </c>
    </row>
    <row r="41" spans="2:20" s="121" customFormat="1" ht="16.5" customHeight="1" x14ac:dyDescent="0.2">
      <c r="B41" s="120"/>
      <c r="C41" s="73" t="s">
        <v>171</v>
      </c>
      <c r="D41" s="73" t="s">
        <v>209</v>
      </c>
      <c r="E41" s="74" t="s">
        <v>240</v>
      </c>
      <c r="F41" s="75" t="s">
        <v>241</v>
      </c>
      <c r="G41" s="76" t="s">
        <v>99</v>
      </c>
      <c r="H41" s="77">
        <v>1</v>
      </c>
      <c r="I41" s="78">
        <v>270.94</v>
      </c>
      <c r="J41" s="77">
        <v>270.89999999999998</v>
      </c>
      <c r="K41" s="68">
        <v>0</v>
      </c>
      <c r="L41" s="69">
        <f t="shared" si="0"/>
        <v>270.94</v>
      </c>
      <c r="M41" s="273">
        <f t="shared" si="1"/>
        <v>0</v>
      </c>
      <c r="N41" s="71">
        <f t="shared" si="2"/>
        <v>1</v>
      </c>
      <c r="O41" s="72">
        <f t="shared" si="3"/>
        <v>270.94</v>
      </c>
      <c r="P41" s="274">
        <f t="shared" si="4"/>
        <v>270.94</v>
      </c>
      <c r="R41" s="194"/>
      <c r="T41" s="121">
        <f t="shared" si="5"/>
        <v>1.03</v>
      </c>
    </row>
    <row r="42" spans="2:20" s="121" customFormat="1" ht="16.5" customHeight="1" x14ac:dyDescent="0.2">
      <c r="B42" s="120"/>
      <c r="C42" s="56" t="s">
        <v>174</v>
      </c>
      <c r="D42" s="56" t="s">
        <v>96</v>
      </c>
      <c r="E42" s="57" t="s">
        <v>246</v>
      </c>
      <c r="F42" s="58" t="s">
        <v>247</v>
      </c>
      <c r="G42" s="59" t="s">
        <v>99</v>
      </c>
      <c r="H42" s="60">
        <v>1</v>
      </c>
      <c r="I42" s="61">
        <v>152.57</v>
      </c>
      <c r="J42" s="60">
        <v>152.6</v>
      </c>
      <c r="K42" s="68">
        <v>0</v>
      </c>
      <c r="L42" s="69">
        <f t="shared" si="0"/>
        <v>152.57</v>
      </c>
      <c r="M42" s="273">
        <f t="shared" si="1"/>
        <v>0</v>
      </c>
      <c r="N42" s="71">
        <f t="shared" si="2"/>
        <v>1</v>
      </c>
      <c r="O42" s="72">
        <f t="shared" si="3"/>
        <v>152.57</v>
      </c>
      <c r="P42" s="274">
        <f t="shared" si="4"/>
        <v>152.57</v>
      </c>
      <c r="R42" s="194"/>
      <c r="T42" s="121">
        <f t="shared" si="5"/>
        <v>1.03</v>
      </c>
    </row>
    <row r="43" spans="2:20" s="121" customFormat="1" ht="16.5" customHeight="1" x14ac:dyDescent="0.2">
      <c r="B43" s="120"/>
      <c r="C43" s="73" t="s">
        <v>177</v>
      </c>
      <c r="D43" s="73" t="s">
        <v>209</v>
      </c>
      <c r="E43" s="74" t="s">
        <v>249</v>
      </c>
      <c r="F43" s="75" t="s">
        <v>250</v>
      </c>
      <c r="G43" s="76" t="s">
        <v>99</v>
      </c>
      <c r="H43" s="77">
        <v>1</v>
      </c>
      <c r="I43" s="78">
        <v>395.88</v>
      </c>
      <c r="J43" s="77">
        <v>395.9</v>
      </c>
      <c r="K43" s="68">
        <v>0</v>
      </c>
      <c r="L43" s="69">
        <f t="shared" si="0"/>
        <v>395.88</v>
      </c>
      <c r="M43" s="273">
        <f t="shared" si="1"/>
        <v>0</v>
      </c>
      <c r="N43" s="71">
        <f t="shared" si="2"/>
        <v>1</v>
      </c>
      <c r="O43" s="72">
        <f t="shared" si="3"/>
        <v>395.88</v>
      </c>
      <c r="P43" s="274">
        <f t="shared" si="4"/>
        <v>395.88</v>
      </c>
      <c r="R43" s="194"/>
      <c r="T43" s="121">
        <f t="shared" si="5"/>
        <v>1.03</v>
      </c>
    </row>
    <row r="44" spans="2:20" s="121" customFormat="1" ht="16.5" customHeight="1" x14ac:dyDescent="0.2">
      <c r="B44" s="120"/>
      <c r="C44" s="56" t="s">
        <v>180</v>
      </c>
      <c r="D44" s="56" t="s">
        <v>96</v>
      </c>
      <c r="E44" s="57" t="s">
        <v>252</v>
      </c>
      <c r="F44" s="58" t="s">
        <v>253</v>
      </c>
      <c r="G44" s="59" t="s">
        <v>150</v>
      </c>
      <c r="H44" s="60">
        <v>5.34</v>
      </c>
      <c r="I44" s="61">
        <v>3239.16</v>
      </c>
      <c r="J44" s="60">
        <v>17297.099999999999</v>
      </c>
      <c r="K44" s="68">
        <f t="shared" ref="K44:K45" si="7">ROUND(42.3/42.2*T44-T44,2)</f>
        <v>0.01</v>
      </c>
      <c r="L44" s="69">
        <f t="shared" si="0"/>
        <v>3239.16</v>
      </c>
      <c r="M44" s="273">
        <f t="shared" si="1"/>
        <v>32.391599999999997</v>
      </c>
      <c r="N44" s="71">
        <f t="shared" si="2"/>
        <v>5.35</v>
      </c>
      <c r="O44" s="72">
        <f t="shared" si="3"/>
        <v>3239.16</v>
      </c>
      <c r="P44" s="274">
        <f t="shared" si="4"/>
        <v>17329.505999999998</v>
      </c>
      <c r="R44" s="194"/>
      <c r="T44" s="121">
        <f t="shared" si="5"/>
        <v>5.5</v>
      </c>
    </row>
    <row r="45" spans="2:20" s="121" customFormat="1" ht="16.5" customHeight="1" x14ac:dyDescent="0.2">
      <c r="B45" s="120"/>
      <c r="C45" s="56" t="s">
        <v>183</v>
      </c>
      <c r="D45" s="56" t="s">
        <v>96</v>
      </c>
      <c r="E45" s="57" t="s">
        <v>255</v>
      </c>
      <c r="F45" s="58" t="s">
        <v>256</v>
      </c>
      <c r="G45" s="59" t="s">
        <v>150</v>
      </c>
      <c r="H45" s="60">
        <v>0.46</v>
      </c>
      <c r="I45" s="61">
        <v>3188.13</v>
      </c>
      <c r="J45" s="60">
        <v>1466.5</v>
      </c>
      <c r="K45" s="68">
        <f t="shared" si="7"/>
        <v>0</v>
      </c>
      <c r="L45" s="69">
        <f t="shared" si="0"/>
        <v>3188.13</v>
      </c>
      <c r="M45" s="273">
        <f t="shared" si="1"/>
        <v>0</v>
      </c>
      <c r="N45" s="71">
        <f t="shared" si="2"/>
        <v>0.46</v>
      </c>
      <c r="O45" s="72">
        <f t="shared" si="3"/>
        <v>3188.13</v>
      </c>
      <c r="P45" s="274">
        <f t="shared" si="4"/>
        <v>1466.5398</v>
      </c>
      <c r="R45" s="194"/>
      <c r="T45" s="121">
        <f t="shared" si="5"/>
        <v>0.47</v>
      </c>
    </row>
    <row r="46" spans="2:20" s="170" customFormat="1" ht="22.9" customHeight="1" x14ac:dyDescent="0.2">
      <c r="B46" s="165"/>
      <c r="C46" s="252"/>
      <c r="D46" s="253" t="s">
        <v>4</v>
      </c>
      <c r="E46" s="254" t="s">
        <v>105</v>
      </c>
      <c r="F46" s="254" t="s">
        <v>257</v>
      </c>
      <c r="G46" s="252"/>
      <c r="H46" s="252"/>
      <c r="I46" s="255"/>
      <c r="J46" s="256">
        <f>+SUBTOTAL(9,J47:J51)</f>
        <v>77624.3</v>
      </c>
      <c r="K46" s="261"/>
      <c r="L46" s="262"/>
      <c r="M46" s="279">
        <f>SUM(M47:M51)</f>
        <v>0</v>
      </c>
      <c r="N46" s="280"/>
      <c r="O46" s="262"/>
      <c r="P46" s="279">
        <f>SUM(P47:P51)</f>
        <v>77624.16339999999</v>
      </c>
      <c r="Q46" s="121"/>
      <c r="R46" s="194"/>
      <c r="T46" s="121">
        <f t="shared" si="5"/>
        <v>0</v>
      </c>
    </row>
    <row r="47" spans="2:20" s="121" customFormat="1" ht="16.5" customHeight="1" x14ac:dyDescent="0.2">
      <c r="B47" s="120"/>
      <c r="C47" s="56" t="s">
        <v>186</v>
      </c>
      <c r="D47" s="56" t="s">
        <v>96</v>
      </c>
      <c r="E47" s="57" t="s">
        <v>262</v>
      </c>
      <c r="F47" s="58" t="s">
        <v>263</v>
      </c>
      <c r="G47" s="59" t="s">
        <v>108</v>
      </c>
      <c r="H47" s="60">
        <v>46.4</v>
      </c>
      <c r="I47" s="61">
        <v>302.54000000000002</v>
      </c>
      <c r="J47" s="60">
        <v>14037.9</v>
      </c>
      <c r="K47" s="68">
        <v>0</v>
      </c>
      <c r="L47" s="69">
        <f t="shared" si="0"/>
        <v>302.54000000000002</v>
      </c>
      <c r="M47" s="273">
        <f t="shared" si="1"/>
        <v>0</v>
      </c>
      <c r="N47" s="71">
        <f t="shared" si="2"/>
        <v>46.4</v>
      </c>
      <c r="O47" s="72">
        <f t="shared" si="3"/>
        <v>302.54000000000002</v>
      </c>
      <c r="P47" s="274">
        <f t="shared" si="4"/>
        <v>14037.856</v>
      </c>
      <c r="R47" s="194"/>
      <c r="T47" s="121">
        <f t="shared" si="5"/>
        <v>47.8</v>
      </c>
    </row>
    <row r="48" spans="2:20" s="121" customFormat="1" ht="16.5" customHeight="1" x14ac:dyDescent="0.2">
      <c r="B48" s="120"/>
      <c r="C48" s="56" t="s">
        <v>189</v>
      </c>
      <c r="D48" s="56" t="s">
        <v>96</v>
      </c>
      <c r="E48" s="57" t="s">
        <v>268</v>
      </c>
      <c r="F48" s="58" t="s">
        <v>269</v>
      </c>
      <c r="G48" s="59" t="s">
        <v>108</v>
      </c>
      <c r="H48" s="60">
        <v>46.4</v>
      </c>
      <c r="I48" s="61">
        <v>14.18</v>
      </c>
      <c r="J48" s="60">
        <v>658</v>
      </c>
      <c r="K48" s="68">
        <v>0</v>
      </c>
      <c r="L48" s="69">
        <f t="shared" si="0"/>
        <v>14.18</v>
      </c>
      <c r="M48" s="273">
        <f t="shared" si="1"/>
        <v>0</v>
      </c>
      <c r="N48" s="71">
        <f t="shared" si="2"/>
        <v>46.4</v>
      </c>
      <c r="O48" s="72">
        <f t="shared" si="3"/>
        <v>14.18</v>
      </c>
      <c r="P48" s="274">
        <f t="shared" si="4"/>
        <v>657.952</v>
      </c>
      <c r="R48" s="194"/>
      <c r="T48" s="121">
        <f t="shared" si="5"/>
        <v>47.8</v>
      </c>
    </row>
    <row r="49" spans="2:20" s="121" customFormat="1" ht="16.5" customHeight="1" x14ac:dyDescent="0.2">
      <c r="B49" s="120"/>
      <c r="C49" s="56" t="s">
        <v>192</v>
      </c>
      <c r="D49" s="56" t="s">
        <v>96</v>
      </c>
      <c r="E49" s="57" t="s">
        <v>271</v>
      </c>
      <c r="F49" s="58" t="s">
        <v>272</v>
      </c>
      <c r="G49" s="59" t="s">
        <v>108</v>
      </c>
      <c r="H49" s="60">
        <v>88.58</v>
      </c>
      <c r="I49" s="61">
        <v>20.62</v>
      </c>
      <c r="J49" s="60">
        <v>1826.5</v>
      </c>
      <c r="K49" s="68">
        <v>0</v>
      </c>
      <c r="L49" s="69">
        <f t="shared" si="0"/>
        <v>20.62</v>
      </c>
      <c r="M49" s="273">
        <f t="shared" si="1"/>
        <v>0</v>
      </c>
      <c r="N49" s="71">
        <f t="shared" si="2"/>
        <v>88.58</v>
      </c>
      <c r="O49" s="72">
        <f t="shared" si="3"/>
        <v>20.62</v>
      </c>
      <c r="P49" s="274">
        <f t="shared" si="4"/>
        <v>1826.5196000000001</v>
      </c>
      <c r="R49" s="194"/>
      <c r="T49" s="121">
        <f t="shared" si="5"/>
        <v>91.26</v>
      </c>
    </row>
    <row r="50" spans="2:20" s="121" customFormat="1" ht="16.5" customHeight="1" x14ac:dyDescent="0.2">
      <c r="B50" s="120"/>
      <c r="C50" s="56" t="s">
        <v>195</v>
      </c>
      <c r="D50" s="56" t="s">
        <v>96</v>
      </c>
      <c r="E50" s="57" t="s">
        <v>274</v>
      </c>
      <c r="F50" s="58" t="s">
        <v>275</v>
      </c>
      <c r="G50" s="59" t="s">
        <v>108</v>
      </c>
      <c r="H50" s="60">
        <v>88.58</v>
      </c>
      <c r="I50" s="61">
        <v>396.71</v>
      </c>
      <c r="J50" s="60">
        <v>35140.6</v>
      </c>
      <c r="K50" s="68">
        <v>0</v>
      </c>
      <c r="L50" s="69">
        <f t="shared" si="0"/>
        <v>396.71</v>
      </c>
      <c r="M50" s="273">
        <f t="shared" si="1"/>
        <v>0</v>
      </c>
      <c r="N50" s="71">
        <f t="shared" si="2"/>
        <v>88.58</v>
      </c>
      <c r="O50" s="72">
        <f t="shared" si="3"/>
        <v>396.71</v>
      </c>
      <c r="P50" s="274">
        <f t="shared" si="4"/>
        <v>35140.571799999998</v>
      </c>
      <c r="R50" s="194"/>
      <c r="T50" s="121">
        <f t="shared" si="5"/>
        <v>91.26</v>
      </c>
    </row>
    <row r="51" spans="2:20" s="121" customFormat="1" ht="16.5" customHeight="1" x14ac:dyDescent="0.2">
      <c r="B51" s="120"/>
      <c r="C51" s="56" t="s">
        <v>198</v>
      </c>
      <c r="D51" s="56" t="s">
        <v>96</v>
      </c>
      <c r="E51" s="57" t="s">
        <v>277</v>
      </c>
      <c r="F51" s="58" t="s">
        <v>278</v>
      </c>
      <c r="G51" s="59" t="s">
        <v>108</v>
      </c>
      <c r="H51" s="60">
        <v>46.4</v>
      </c>
      <c r="I51" s="61">
        <v>559.51</v>
      </c>
      <c r="J51" s="60">
        <v>25961.3</v>
      </c>
      <c r="K51" s="68">
        <v>0</v>
      </c>
      <c r="L51" s="69">
        <f t="shared" si="0"/>
        <v>559.51</v>
      </c>
      <c r="M51" s="273">
        <f t="shared" si="1"/>
        <v>0</v>
      </c>
      <c r="N51" s="71">
        <f t="shared" si="2"/>
        <v>46.4</v>
      </c>
      <c r="O51" s="72">
        <f t="shared" si="3"/>
        <v>559.51</v>
      </c>
      <c r="P51" s="274">
        <f t="shared" si="4"/>
        <v>25961.263999999999</v>
      </c>
      <c r="R51" s="194"/>
      <c r="T51" s="121">
        <f t="shared" si="5"/>
        <v>47.8</v>
      </c>
    </row>
    <row r="52" spans="2:20" s="170" customFormat="1" ht="22.9" customHeight="1" x14ac:dyDescent="0.2">
      <c r="B52" s="165"/>
      <c r="C52" s="252"/>
      <c r="D52" s="253" t="s">
        <v>4</v>
      </c>
      <c r="E52" s="254" t="s">
        <v>115</v>
      </c>
      <c r="F52" s="254" t="s">
        <v>288</v>
      </c>
      <c r="G52" s="252"/>
      <c r="H52" s="252"/>
      <c r="I52" s="255"/>
      <c r="J52" s="256">
        <f>+SUBTOTAL(9,J53:J70)</f>
        <v>102833.49999999997</v>
      </c>
      <c r="K52" s="261"/>
      <c r="L52" s="262"/>
      <c r="M52" s="279">
        <f>SUM(M53:M70)</f>
        <v>167.77</v>
      </c>
      <c r="N52" s="280"/>
      <c r="O52" s="262"/>
      <c r="P52" s="279">
        <f>SUM(P53:P70)</f>
        <v>103001.27439999999</v>
      </c>
      <c r="Q52" s="121"/>
      <c r="R52" s="194"/>
      <c r="T52" s="121">
        <f t="shared" si="5"/>
        <v>0</v>
      </c>
    </row>
    <row r="53" spans="2:20" s="121" customFormat="1" ht="16.5" customHeight="1" x14ac:dyDescent="0.2">
      <c r="B53" s="120"/>
      <c r="C53" s="56" t="s">
        <v>202</v>
      </c>
      <c r="D53" s="56" t="s">
        <v>96</v>
      </c>
      <c r="E53" s="57" t="s">
        <v>296</v>
      </c>
      <c r="F53" s="58" t="s">
        <v>297</v>
      </c>
      <c r="G53" s="59" t="s">
        <v>133</v>
      </c>
      <c r="H53" s="60">
        <v>40.96</v>
      </c>
      <c r="I53" s="61">
        <v>552.39</v>
      </c>
      <c r="J53" s="60">
        <v>22625.9</v>
      </c>
      <c r="K53" s="68">
        <f t="shared" ref="K53:K54" si="8">ROUND(42.3/42.2*T53-T53,2)</f>
        <v>0.1</v>
      </c>
      <c r="L53" s="69">
        <f t="shared" si="0"/>
        <v>552.39</v>
      </c>
      <c r="M53" s="273">
        <f t="shared" si="1"/>
        <v>55.239000000000004</v>
      </c>
      <c r="N53" s="71">
        <f t="shared" si="2"/>
        <v>41.06</v>
      </c>
      <c r="O53" s="72">
        <f t="shared" si="3"/>
        <v>552.39</v>
      </c>
      <c r="P53" s="274">
        <f t="shared" si="4"/>
        <v>22681.133400000002</v>
      </c>
      <c r="R53" s="194"/>
      <c r="T53" s="121">
        <f t="shared" si="5"/>
        <v>42.2</v>
      </c>
    </row>
    <row r="54" spans="2:20" s="121" customFormat="1" ht="16.5" customHeight="1" x14ac:dyDescent="0.2">
      <c r="B54" s="120"/>
      <c r="C54" s="73" t="s">
        <v>205</v>
      </c>
      <c r="D54" s="73" t="s">
        <v>209</v>
      </c>
      <c r="E54" s="74" t="s">
        <v>299</v>
      </c>
      <c r="F54" s="75" t="s">
        <v>300</v>
      </c>
      <c r="G54" s="76" t="s">
        <v>133</v>
      </c>
      <c r="H54" s="77">
        <v>40.96</v>
      </c>
      <c r="I54" s="78">
        <v>1060.07</v>
      </c>
      <c r="J54" s="77">
        <v>43420.5</v>
      </c>
      <c r="K54" s="68">
        <f t="shared" si="8"/>
        <v>0.1</v>
      </c>
      <c r="L54" s="69">
        <f t="shared" si="0"/>
        <v>1060.07</v>
      </c>
      <c r="M54" s="273">
        <f t="shared" si="1"/>
        <v>106.00700000000001</v>
      </c>
      <c r="N54" s="71">
        <f t="shared" si="2"/>
        <v>41.06</v>
      </c>
      <c r="O54" s="72">
        <f t="shared" si="3"/>
        <v>1060.07</v>
      </c>
      <c r="P54" s="274">
        <f t="shared" si="4"/>
        <v>43526.474199999997</v>
      </c>
      <c r="R54" s="194"/>
      <c r="T54" s="121">
        <f t="shared" si="5"/>
        <v>42.2</v>
      </c>
    </row>
    <row r="55" spans="2:20" s="121" customFormat="1" ht="16.5" customHeight="1" x14ac:dyDescent="0.2">
      <c r="B55" s="120"/>
      <c r="C55" s="73" t="s">
        <v>208</v>
      </c>
      <c r="D55" s="73" t="s">
        <v>209</v>
      </c>
      <c r="E55" s="74" t="s">
        <v>302</v>
      </c>
      <c r="F55" s="75" t="s">
        <v>303</v>
      </c>
      <c r="G55" s="76" t="s">
        <v>99</v>
      </c>
      <c r="H55" s="77">
        <v>2</v>
      </c>
      <c r="I55" s="78">
        <v>739.15</v>
      </c>
      <c r="J55" s="77">
        <v>1478.3</v>
      </c>
      <c r="K55" s="68">
        <v>0</v>
      </c>
      <c r="L55" s="69">
        <f t="shared" si="0"/>
        <v>739.15</v>
      </c>
      <c r="M55" s="273">
        <f t="shared" si="1"/>
        <v>0</v>
      </c>
      <c r="N55" s="71">
        <f t="shared" si="2"/>
        <v>2</v>
      </c>
      <c r="O55" s="72">
        <f t="shared" si="3"/>
        <v>739.15</v>
      </c>
      <c r="P55" s="274">
        <f t="shared" si="4"/>
        <v>1478.3</v>
      </c>
      <c r="R55" s="194"/>
      <c r="T55" s="121">
        <f t="shared" si="5"/>
        <v>2.06</v>
      </c>
    </row>
    <row r="56" spans="2:20" s="121" customFormat="1" ht="16.5" customHeight="1" x14ac:dyDescent="0.2">
      <c r="B56" s="120"/>
      <c r="C56" s="56" t="s">
        <v>212</v>
      </c>
      <c r="D56" s="56" t="s">
        <v>96</v>
      </c>
      <c r="E56" s="57" t="s">
        <v>320</v>
      </c>
      <c r="F56" s="58" t="s">
        <v>321</v>
      </c>
      <c r="G56" s="59" t="s">
        <v>99</v>
      </c>
      <c r="H56" s="60">
        <v>1</v>
      </c>
      <c r="I56" s="61">
        <v>260.41000000000003</v>
      </c>
      <c r="J56" s="60">
        <v>260.39999999999998</v>
      </c>
      <c r="K56" s="68">
        <v>0</v>
      </c>
      <c r="L56" s="69">
        <f t="shared" si="0"/>
        <v>260.41000000000003</v>
      </c>
      <c r="M56" s="273">
        <f t="shared" si="1"/>
        <v>0</v>
      </c>
      <c r="N56" s="71">
        <f t="shared" si="2"/>
        <v>1</v>
      </c>
      <c r="O56" s="72">
        <f t="shared" si="3"/>
        <v>260.41000000000003</v>
      </c>
      <c r="P56" s="274">
        <f t="shared" si="4"/>
        <v>260.41000000000003</v>
      </c>
      <c r="R56" s="194"/>
      <c r="T56" s="121">
        <f t="shared" si="5"/>
        <v>1.03</v>
      </c>
    </row>
    <row r="57" spans="2:20" s="121" customFormat="1" ht="16.5" customHeight="1" x14ac:dyDescent="0.2">
      <c r="B57" s="120"/>
      <c r="C57" s="73" t="s">
        <v>215</v>
      </c>
      <c r="D57" s="73" t="s">
        <v>209</v>
      </c>
      <c r="E57" s="74" t="s">
        <v>326</v>
      </c>
      <c r="F57" s="75" t="s">
        <v>327</v>
      </c>
      <c r="G57" s="76" t="s">
        <v>99</v>
      </c>
      <c r="H57" s="77">
        <v>1.02</v>
      </c>
      <c r="I57" s="78">
        <v>1801.85</v>
      </c>
      <c r="J57" s="77">
        <v>1837.9</v>
      </c>
      <c r="K57" s="68">
        <v>0</v>
      </c>
      <c r="L57" s="69">
        <f t="shared" si="0"/>
        <v>1801.85</v>
      </c>
      <c r="M57" s="273">
        <f t="shared" si="1"/>
        <v>0</v>
      </c>
      <c r="N57" s="71">
        <f t="shared" si="2"/>
        <v>1.02</v>
      </c>
      <c r="O57" s="72">
        <f t="shared" si="3"/>
        <v>1801.85</v>
      </c>
      <c r="P57" s="274">
        <f t="shared" si="4"/>
        <v>1837.8869999999999</v>
      </c>
      <c r="R57" s="194"/>
      <c r="T57" s="121">
        <f t="shared" si="5"/>
        <v>1.05</v>
      </c>
    </row>
    <row r="58" spans="2:20" s="121" customFormat="1" ht="16.5" customHeight="1" x14ac:dyDescent="0.2">
      <c r="B58" s="120"/>
      <c r="C58" s="56" t="s">
        <v>219</v>
      </c>
      <c r="D58" s="56" t="s">
        <v>96</v>
      </c>
      <c r="E58" s="57" t="s">
        <v>329</v>
      </c>
      <c r="F58" s="58" t="s">
        <v>330</v>
      </c>
      <c r="G58" s="59" t="s">
        <v>99</v>
      </c>
      <c r="H58" s="60">
        <v>1</v>
      </c>
      <c r="I58" s="61">
        <v>219.64</v>
      </c>
      <c r="J58" s="60">
        <v>219.6</v>
      </c>
      <c r="K58" s="68">
        <v>0</v>
      </c>
      <c r="L58" s="69">
        <f t="shared" si="0"/>
        <v>219.64</v>
      </c>
      <c r="M58" s="273">
        <f t="shared" si="1"/>
        <v>0</v>
      </c>
      <c r="N58" s="71">
        <f t="shared" si="2"/>
        <v>1</v>
      </c>
      <c r="O58" s="72">
        <f t="shared" si="3"/>
        <v>219.64</v>
      </c>
      <c r="P58" s="274">
        <f t="shared" si="4"/>
        <v>219.64</v>
      </c>
      <c r="R58" s="194"/>
      <c r="T58" s="121">
        <f t="shared" si="5"/>
        <v>1.03</v>
      </c>
    </row>
    <row r="59" spans="2:20" s="121" customFormat="1" ht="16.5" customHeight="1" x14ac:dyDescent="0.2">
      <c r="B59" s="120"/>
      <c r="C59" s="73" t="s">
        <v>223</v>
      </c>
      <c r="D59" s="73" t="s">
        <v>209</v>
      </c>
      <c r="E59" s="74" t="s">
        <v>335</v>
      </c>
      <c r="F59" s="75" t="s">
        <v>336</v>
      </c>
      <c r="G59" s="76" t="s">
        <v>99</v>
      </c>
      <c r="H59" s="77">
        <v>1.02</v>
      </c>
      <c r="I59" s="78">
        <v>1129.77</v>
      </c>
      <c r="J59" s="77">
        <v>1152.4000000000001</v>
      </c>
      <c r="K59" s="68">
        <v>0</v>
      </c>
      <c r="L59" s="69">
        <f t="shared" si="0"/>
        <v>1129.77</v>
      </c>
      <c r="M59" s="273">
        <f t="shared" si="1"/>
        <v>0</v>
      </c>
      <c r="N59" s="71">
        <f t="shared" si="2"/>
        <v>1.02</v>
      </c>
      <c r="O59" s="72">
        <f t="shared" si="3"/>
        <v>1129.77</v>
      </c>
      <c r="P59" s="274">
        <f t="shared" si="4"/>
        <v>1152.3653999999999</v>
      </c>
      <c r="R59" s="194"/>
      <c r="T59" s="121">
        <f t="shared" si="5"/>
        <v>1.05</v>
      </c>
    </row>
    <row r="60" spans="2:20" s="121" customFormat="1" ht="33.75" customHeight="1" x14ac:dyDescent="0.2">
      <c r="B60" s="120"/>
      <c r="C60" s="56" t="s">
        <v>226</v>
      </c>
      <c r="D60" s="56" t="s">
        <v>96</v>
      </c>
      <c r="E60" s="57" t="s">
        <v>347</v>
      </c>
      <c r="F60" s="58" t="s">
        <v>348</v>
      </c>
      <c r="G60" s="59" t="s">
        <v>133</v>
      </c>
      <c r="H60" s="60">
        <v>40.96</v>
      </c>
      <c r="I60" s="61">
        <v>56.03</v>
      </c>
      <c r="J60" s="60">
        <v>2295</v>
      </c>
      <c r="K60" s="68">
        <f t="shared" ref="K60" si="9">ROUND(42.3/42.2*T60-T60,2)</f>
        <v>0.1</v>
      </c>
      <c r="L60" s="69">
        <f t="shared" si="0"/>
        <v>56.03</v>
      </c>
      <c r="M60" s="273">
        <f t="shared" si="1"/>
        <v>5.6030000000000006</v>
      </c>
      <c r="N60" s="71">
        <f t="shared" si="2"/>
        <v>41.06</v>
      </c>
      <c r="O60" s="72">
        <f t="shared" si="3"/>
        <v>56.03</v>
      </c>
      <c r="P60" s="274">
        <f t="shared" si="4"/>
        <v>2300.5918000000001</v>
      </c>
      <c r="R60" s="194"/>
      <c r="T60" s="121">
        <f t="shared" si="5"/>
        <v>42.2</v>
      </c>
    </row>
    <row r="61" spans="2:20" s="121" customFormat="1" ht="16.5" customHeight="1" x14ac:dyDescent="0.2">
      <c r="B61" s="120"/>
      <c r="C61" s="56" t="s">
        <v>230</v>
      </c>
      <c r="D61" s="56" t="s">
        <v>96</v>
      </c>
      <c r="E61" s="57" t="s">
        <v>350</v>
      </c>
      <c r="F61" s="58" t="s">
        <v>351</v>
      </c>
      <c r="G61" s="59" t="s">
        <v>99</v>
      </c>
      <c r="H61" s="60">
        <v>1</v>
      </c>
      <c r="I61" s="61">
        <v>808.86</v>
      </c>
      <c r="J61" s="60">
        <v>808.9</v>
      </c>
      <c r="K61" s="68">
        <v>0</v>
      </c>
      <c r="L61" s="69">
        <f t="shared" si="0"/>
        <v>808.86</v>
      </c>
      <c r="M61" s="273">
        <f t="shared" si="1"/>
        <v>0</v>
      </c>
      <c r="N61" s="71">
        <f t="shared" si="2"/>
        <v>1</v>
      </c>
      <c r="O61" s="72">
        <f t="shared" si="3"/>
        <v>808.86</v>
      </c>
      <c r="P61" s="274">
        <f t="shared" si="4"/>
        <v>808.86</v>
      </c>
      <c r="R61" s="194"/>
      <c r="T61" s="121">
        <f t="shared" si="5"/>
        <v>1.03</v>
      </c>
    </row>
    <row r="62" spans="2:20" s="121" customFormat="1" ht="16.5" customHeight="1" x14ac:dyDescent="0.2">
      <c r="B62" s="120"/>
      <c r="C62" s="73" t="s">
        <v>233</v>
      </c>
      <c r="D62" s="73" t="s">
        <v>209</v>
      </c>
      <c r="E62" s="74" t="s">
        <v>359</v>
      </c>
      <c r="F62" s="75" t="s">
        <v>360</v>
      </c>
      <c r="G62" s="76" t="s">
        <v>99</v>
      </c>
      <c r="H62" s="77">
        <v>1</v>
      </c>
      <c r="I62" s="78">
        <v>775.98</v>
      </c>
      <c r="J62" s="77">
        <v>776</v>
      </c>
      <c r="K62" s="68">
        <v>0</v>
      </c>
      <c r="L62" s="69">
        <f t="shared" si="0"/>
        <v>775.98</v>
      </c>
      <c r="M62" s="273">
        <f t="shared" si="1"/>
        <v>0</v>
      </c>
      <c r="N62" s="71">
        <f t="shared" si="2"/>
        <v>1</v>
      </c>
      <c r="O62" s="72">
        <f t="shared" si="3"/>
        <v>775.98</v>
      </c>
      <c r="P62" s="274">
        <f t="shared" si="4"/>
        <v>775.98</v>
      </c>
      <c r="R62" s="194"/>
      <c r="T62" s="121">
        <f t="shared" si="5"/>
        <v>1.03</v>
      </c>
    </row>
    <row r="63" spans="2:20" s="121" customFormat="1" ht="16.5" customHeight="1" x14ac:dyDescent="0.2">
      <c r="B63" s="120"/>
      <c r="C63" s="73" t="s">
        <v>236</v>
      </c>
      <c r="D63" s="73" t="s">
        <v>209</v>
      </c>
      <c r="E63" s="74" t="s">
        <v>362</v>
      </c>
      <c r="F63" s="75" t="s">
        <v>363</v>
      </c>
      <c r="G63" s="76" t="s">
        <v>99</v>
      </c>
      <c r="H63" s="77">
        <v>2</v>
      </c>
      <c r="I63" s="78">
        <v>211.75</v>
      </c>
      <c r="J63" s="77">
        <v>423.5</v>
      </c>
      <c r="K63" s="68">
        <v>0</v>
      </c>
      <c r="L63" s="69">
        <f t="shared" si="0"/>
        <v>211.75</v>
      </c>
      <c r="M63" s="273">
        <f t="shared" si="1"/>
        <v>0</v>
      </c>
      <c r="N63" s="71">
        <f t="shared" si="2"/>
        <v>2</v>
      </c>
      <c r="O63" s="72">
        <f t="shared" si="3"/>
        <v>211.75</v>
      </c>
      <c r="P63" s="274">
        <f t="shared" si="4"/>
        <v>423.5</v>
      </c>
      <c r="R63" s="194"/>
      <c r="T63" s="121">
        <f t="shared" si="5"/>
        <v>2.06</v>
      </c>
    </row>
    <row r="64" spans="2:20" s="121" customFormat="1" ht="16.5" customHeight="1" x14ac:dyDescent="0.2">
      <c r="B64" s="120"/>
      <c r="C64" s="56" t="s">
        <v>239</v>
      </c>
      <c r="D64" s="56" t="s">
        <v>96</v>
      </c>
      <c r="E64" s="57" t="s">
        <v>365</v>
      </c>
      <c r="F64" s="58" t="s">
        <v>366</v>
      </c>
      <c r="G64" s="59" t="s">
        <v>99</v>
      </c>
      <c r="H64" s="60">
        <v>1</v>
      </c>
      <c r="I64" s="61">
        <v>808.86</v>
      </c>
      <c r="J64" s="60">
        <v>808.9</v>
      </c>
      <c r="K64" s="68">
        <v>0</v>
      </c>
      <c r="L64" s="69">
        <f t="shared" si="0"/>
        <v>808.86</v>
      </c>
      <c r="M64" s="273">
        <f t="shared" si="1"/>
        <v>0</v>
      </c>
      <c r="N64" s="71">
        <f t="shared" si="2"/>
        <v>1</v>
      </c>
      <c r="O64" s="72">
        <f t="shared" si="3"/>
        <v>808.86</v>
      </c>
      <c r="P64" s="274">
        <f t="shared" si="4"/>
        <v>808.86</v>
      </c>
      <c r="R64" s="194"/>
      <c r="T64" s="121">
        <f t="shared" si="5"/>
        <v>1.03</v>
      </c>
    </row>
    <row r="65" spans="2:20" s="121" customFormat="1" ht="16.5" customHeight="1" x14ac:dyDescent="0.2">
      <c r="B65" s="120"/>
      <c r="C65" s="73" t="s">
        <v>242</v>
      </c>
      <c r="D65" s="73" t="s">
        <v>209</v>
      </c>
      <c r="E65" s="74" t="s">
        <v>368</v>
      </c>
      <c r="F65" s="75" t="s">
        <v>369</v>
      </c>
      <c r="G65" s="76" t="s">
        <v>99</v>
      </c>
      <c r="H65" s="77">
        <v>1</v>
      </c>
      <c r="I65" s="78">
        <v>1530.92</v>
      </c>
      <c r="J65" s="77">
        <v>1530.9</v>
      </c>
      <c r="K65" s="68">
        <v>0</v>
      </c>
      <c r="L65" s="69">
        <f t="shared" si="0"/>
        <v>1530.92</v>
      </c>
      <c r="M65" s="273">
        <f t="shared" si="1"/>
        <v>0</v>
      </c>
      <c r="N65" s="71">
        <f t="shared" si="2"/>
        <v>1</v>
      </c>
      <c r="O65" s="72">
        <f t="shared" si="3"/>
        <v>1530.92</v>
      </c>
      <c r="P65" s="274">
        <f t="shared" si="4"/>
        <v>1530.92</v>
      </c>
      <c r="R65" s="194"/>
      <c r="T65" s="121">
        <f t="shared" si="5"/>
        <v>1.03</v>
      </c>
    </row>
    <row r="66" spans="2:20" s="121" customFormat="1" ht="16.5" customHeight="1" x14ac:dyDescent="0.2">
      <c r="B66" s="120"/>
      <c r="C66" s="56" t="s">
        <v>245</v>
      </c>
      <c r="D66" s="56" t="s">
        <v>96</v>
      </c>
      <c r="E66" s="57" t="s">
        <v>371</v>
      </c>
      <c r="F66" s="58" t="s">
        <v>372</v>
      </c>
      <c r="G66" s="59" t="s">
        <v>99</v>
      </c>
      <c r="H66" s="60">
        <v>1</v>
      </c>
      <c r="I66" s="61">
        <v>3234.12</v>
      </c>
      <c r="J66" s="60">
        <v>3234.1</v>
      </c>
      <c r="K66" s="68">
        <v>0</v>
      </c>
      <c r="L66" s="69">
        <f t="shared" si="0"/>
        <v>3234.12</v>
      </c>
      <c r="M66" s="273">
        <f t="shared" si="1"/>
        <v>0</v>
      </c>
      <c r="N66" s="71">
        <f t="shared" si="2"/>
        <v>1</v>
      </c>
      <c r="O66" s="72">
        <f t="shared" si="3"/>
        <v>3234.12</v>
      </c>
      <c r="P66" s="274">
        <f t="shared" si="4"/>
        <v>3234.12</v>
      </c>
      <c r="R66" s="194"/>
      <c r="T66" s="121">
        <f t="shared" si="5"/>
        <v>1.03</v>
      </c>
    </row>
    <row r="67" spans="2:20" s="121" customFormat="1" ht="16.5" customHeight="1" x14ac:dyDescent="0.2">
      <c r="B67" s="120"/>
      <c r="C67" s="73" t="s">
        <v>248</v>
      </c>
      <c r="D67" s="73" t="s">
        <v>209</v>
      </c>
      <c r="E67" s="74" t="s">
        <v>374</v>
      </c>
      <c r="F67" s="75" t="s">
        <v>375</v>
      </c>
      <c r="G67" s="76" t="s">
        <v>99</v>
      </c>
      <c r="H67" s="77">
        <v>1</v>
      </c>
      <c r="I67" s="78">
        <v>14588.41</v>
      </c>
      <c r="J67" s="77">
        <v>14588.4</v>
      </c>
      <c r="K67" s="68">
        <v>0</v>
      </c>
      <c r="L67" s="69">
        <f t="shared" si="0"/>
        <v>14588.41</v>
      </c>
      <c r="M67" s="273">
        <f t="shared" si="1"/>
        <v>0</v>
      </c>
      <c r="N67" s="71">
        <f t="shared" si="2"/>
        <v>1</v>
      </c>
      <c r="O67" s="72">
        <f t="shared" si="3"/>
        <v>14588.41</v>
      </c>
      <c r="P67" s="274">
        <f t="shared" si="4"/>
        <v>14588.41</v>
      </c>
      <c r="R67" s="194"/>
      <c r="T67" s="121">
        <f t="shared" si="5"/>
        <v>1.03</v>
      </c>
    </row>
    <row r="68" spans="2:20" s="121" customFormat="1" ht="16.5" customHeight="1" x14ac:dyDescent="0.2">
      <c r="B68" s="120"/>
      <c r="C68" s="56" t="s">
        <v>251</v>
      </c>
      <c r="D68" s="56" t="s">
        <v>96</v>
      </c>
      <c r="E68" s="57" t="s">
        <v>377</v>
      </c>
      <c r="F68" s="58" t="s">
        <v>378</v>
      </c>
      <c r="G68" s="59" t="s">
        <v>99</v>
      </c>
      <c r="H68" s="60">
        <v>1</v>
      </c>
      <c r="I68" s="61">
        <v>485.32</v>
      </c>
      <c r="J68" s="60">
        <v>485.3</v>
      </c>
      <c r="K68" s="68">
        <v>0</v>
      </c>
      <c r="L68" s="69">
        <f t="shared" si="0"/>
        <v>485.32</v>
      </c>
      <c r="M68" s="273">
        <f t="shared" si="1"/>
        <v>0</v>
      </c>
      <c r="N68" s="71">
        <f t="shared" si="2"/>
        <v>1</v>
      </c>
      <c r="O68" s="72">
        <f t="shared" si="3"/>
        <v>485.32</v>
      </c>
      <c r="P68" s="274">
        <f t="shared" si="4"/>
        <v>485.32</v>
      </c>
      <c r="R68" s="194"/>
      <c r="T68" s="121">
        <f t="shared" si="5"/>
        <v>1.03</v>
      </c>
    </row>
    <row r="69" spans="2:20" s="121" customFormat="1" ht="16.5" customHeight="1" x14ac:dyDescent="0.2">
      <c r="B69" s="120"/>
      <c r="C69" s="73" t="s">
        <v>254</v>
      </c>
      <c r="D69" s="73" t="s">
        <v>209</v>
      </c>
      <c r="E69" s="74" t="s">
        <v>380</v>
      </c>
      <c r="F69" s="75" t="s">
        <v>381</v>
      </c>
      <c r="G69" s="76" t="s">
        <v>99</v>
      </c>
      <c r="H69" s="77">
        <v>1</v>
      </c>
      <c r="I69" s="78">
        <v>6510.34</v>
      </c>
      <c r="J69" s="77">
        <v>6510.3</v>
      </c>
      <c r="K69" s="68">
        <v>0</v>
      </c>
      <c r="L69" s="69">
        <f t="shared" si="0"/>
        <v>6510.34</v>
      </c>
      <c r="M69" s="273">
        <f t="shared" si="1"/>
        <v>0</v>
      </c>
      <c r="N69" s="71">
        <f t="shared" si="2"/>
        <v>1</v>
      </c>
      <c r="O69" s="72">
        <f t="shared" si="3"/>
        <v>6510.34</v>
      </c>
      <c r="P69" s="274">
        <f t="shared" si="4"/>
        <v>6510.34</v>
      </c>
      <c r="R69" s="194"/>
      <c r="T69" s="121">
        <f t="shared" si="5"/>
        <v>1.03</v>
      </c>
    </row>
    <row r="70" spans="2:20" s="121" customFormat="1" ht="16.5" customHeight="1" x14ac:dyDescent="0.2">
      <c r="B70" s="120"/>
      <c r="C70" s="56" t="s">
        <v>258</v>
      </c>
      <c r="D70" s="56" t="s">
        <v>96</v>
      </c>
      <c r="E70" s="57" t="s">
        <v>383</v>
      </c>
      <c r="F70" s="58" t="s">
        <v>384</v>
      </c>
      <c r="G70" s="59" t="s">
        <v>133</v>
      </c>
      <c r="H70" s="60">
        <v>40.96</v>
      </c>
      <c r="I70" s="61">
        <v>9.2100000000000009</v>
      </c>
      <c r="J70" s="60">
        <v>377.2</v>
      </c>
      <c r="K70" s="68">
        <f t="shared" ref="K70" si="10">ROUND(42.3/42.2*T70-T70,2)</f>
        <v>0.1</v>
      </c>
      <c r="L70" s="69">
        <f t="shared" si="0"/>
        <v>9.2100000000000009</v>
      </c>
      <c r="M70" s="273">
        <f t="shared" si="1"/>
        <v>0.92100000000000015</v>
      </c>
      <c r="N70" s="71">
        <f t="shared" si="2"/>
        <v>41.06</v>
      </c>
      <c r="O70" s="72">
        <f t="shared" si="3"/>
        <v>9.2100000000000009</v>
      </c>
      <c r="P70" s="274">
        <f t="shared" si="4"/>
        <v>378.16260000000005</v>
      </c>
      <c r="R70" s="194"/>
      <c r="T70" s="121">
        <f t="shared" si="5"/>
        <v>42.2</v>
      </c>
    </row>
    <row r="71" spans="2:20" s="170" customFormat="1" ht="22.9" customHeight="1" x14ac:dyDescent="0.2">
      <c r="B71" s="165"/>
      <c r="C71" s="252"/>
      <c r="D71" s="253" t="s">
        <v>4</v>
      </c>
      <c r="E71" s="254" t="s">
        <v>118</v>
      </c>
      <c r="F71" s="254" t="s">
        <v>385</v>
      </c>
      <c r="G71" s="252"/>
      <c r="H71" s="252"/>
      <c r="I71" s="255"/>
      <c r="J71" s="256">
        <f>+SUBTOTAL(9,J72:J73)</f>
        <v>13496.8</v>
      </c>
      <c r="K71" s="261"/>
      <c r="L71" s="262"/>
      <c r="M71" s="279">
        <f>SUM(M72:M73)</f>
        <v>0</v>
      </c>
      <c r="N71" s="280"/>
      <c r="O71" s="262"/>
      <c r="P71" s="279">
        <f>SUM(P72:P73)</f>
        <v>13496.756400000002</v>
      </c>
      <c r="Q71" s="121"/>
      <c r="R71" s="194"/>
      <c r="T71" s="121">
        <f t="shared" si="5"/>
        <v>0</v>
      </c>
    </row>
    <row r="72" spans="2:20" s="121" customFormat="1" ht="16.5" customHeight="1" x14ac:dyDescent="0.2">
      <c r="B72" s="120"/>
      <c r="C72" s="56" t="s">
        <v>261</v>
      </c>
      <c r="D72" s="56" t="s">
        <v>96</v>
      </c>
      <c r="E72" s="57" t="s">
        <v>387</v>
      </c>
      <c r="F72" s="58" t="s">
        <v>388</v>
      </c>
      <c r="G72" s="59" t="s">
        <v>133</v>
      </c>
      <c r="H72" s="60">
        <v>84.36</v>
      </c>
      <c r="I72" s="61">
        <v>87.65</v>
      </c>
      <c r="J72" s="60">
        <v>7394.2</v>
      </c>
      <c r="K72" s="68">
        <v>0</v>
      </c>
      <c r="L72" s="69">
        <f t="shared" si="0"/>
        <v>87.65</v>
      </c>
      <c r="M72" s="273">
        <f t="shared" si="1"/>
        <v>0</v>
      </c>
      <c r="N72" s="71">
        <f t="shared" si="2"/>
        <v>84.36</v>
      </c>
      <c r="O72" s="72">
        <f t="shared" si="3"/>
        <v>87.65</v>
      </c>
      <c r="P72" s="274">
        <f t="shared" si="4"/>
        <v>7394.1540000000005</v>
      </c>
      <c r="R72" s="194"/>
      <c r="T72" s="121">
        <f t="shared" si="5"/>
        <v>86.91</v>
      </c>
    </row>
    <row r="73" spans="2:20" s="121" customFormat="1" ht="16.5" customHeight="1" x14ac:dyDescent="0.2">
      <c r="B73" s="120"/>
      <c r="C73" s="56" t="s">
        <v>264</v>
      </c>
      <c r="D73" s="56" t="s">
        <v>96</v>
      </c>
      <c r="E73" s="57" t="s">
        <v>390</v>
      </c>
      <c r="F73" s="58" t="s">
        <v>391</v>
      </c>
      <c r="G73" s="59" t="s">
        <v>133</v>
      </c>
      <c r="H73" s="60">
        <v>84.36</v>
      </c>
      <c r="I73" s="61">
        <v>72.34</v>
      </c>
      <c r="J73" s="60">
        <v>6102.6</v>
      </c>
      <c r="K73" s="68">
        <v>0</v>
      </c>
      <c r="L73" s="69">
        <f t="shared" si="0"/>
        <v>72.34</v>
      </c>
      <c r="M73" s="273">
        <f t="shared" si="1"/>
        <v>0</v>
      </c>
      <c r="N73" s="71">
        <f t="shared" si="2"/>
        <v>84.36</v>
      </c>
      <c r="O73" s="72">
        <f t="shared" si="3"/>
        <v>72.34</v>
      </c>
      <c r="P73" s="274">
        <f t="shared" si="4"/>
        <v>6102.6024000000007</v>
      </c>
      <c r="R73" s="194"/>
      <c r="T73" s="121">
        <f t="shared" si="5"/>
        <v>86.91</v>
      </c>
    </row>
    <row r="74" spans="2:20" s="170" customFormat="1" ht="22.9" customHeight="1" x14ac:dyDescent="0.2">
      <c r="B74" s="165"/>
      <c r="C74" s="252"/>
      <c r="D74" s="253" t="s">
        <v>4</v>
      </c>
      <c r="E74" s="254" t="s">
        <v>398</v>
      </c>
      <c r="F74" s="254" t="s">
        <v>399</v>
      </c>
      <c r="G74" s="252"/>
      <c r="H74" s="252"/>
      <c r="I74" s="255"/>
      <c r="J74" s="256">
        <f>+SUBTOTAL(9,J75:J77)</f>
        <v>17165</v>
      </c>
      <c r="K74" s="261"/>
      <c r="L74" s="262"/>
      <c r="M74" s="279">
        <f>SUM(M75:M77)</f>
        <v>27.9559</v>
      </c>
      <c r="N74" s="280"/>
      <c r="O74" s="262"/>
      <c r="P74" s="279">
        <f>SUM(P75:P77)</f>
        <v>17192.908100000001</v>
      </c>
      <c r="Q74" s="121"/>
      <c r="R74" s="194"/>
      <c r="T74" s="121">
        <f t="shared" si="5"/>
        <v>0</v>
      </c>
    </row>
    <row r="75" spans="2:20" s="121" customFormat="1" ht="16.5" customHeight="1" x14ac:dyDescent="0.2">
      <c r="B75" s="120"/>
      <c r="C75" s="56" t="s">
        <v>267</v>
      </c>
      <c r="D75" s="56" t="s">
        <v>96</v>
      </c>
      <c r="E75" s="57" t="s">
        <v>401</v>
      </c>
      <c r="F75" s="58" t="s">
        <v>402</v>
      </c>
      <c r="G75" s="59" t="s">
        <v>201</v>
      </c>
      <c r="H75" s="60">
        <v>43.63</v>
      </c>
      <c r="I75" s="61">
        <v>183.84</v>
      </c>
      <c r="J75" s="60">
        <v>8020.9</v>
      </c>
      <c r="K75" s="68">
        <f t="shared" ref="K75" si="11">ROUND(42.3/42.2*T75-T75,2)</f>
        <v>0.11</v>
      </c>
      <c r="L75" s="69">
        <f t="shared" si="0"/>
        <v>183.84</v>
      </c>
      <c r="M75" s="273">
        <f t="shared" si="1"/>
        <v>20.2224</v>
      </c>
      <c r="N75" s="71">
        <f t="shared" si="2"/>
        <v>43.74</v>
      </c>
      <c r="O75" s="72">
        <f t="shared" si="3"/>
        <v>183.84</v>
      </c>
      <c r="P75" s="274">
        <f t="shared" si="4"/>
        <v>8041.1616000000004</v>
      </c>
      <c r="R75" s="194"/>
      <c r="T75" s="121">
        <f t="shared" si="5"/>
        <v>44.95</v>
      </c>
    </row>
    <row r="76" spans="2:20" s="121" customFormat="1" ht="16.5" customHeight="1" x14ac:dyDescent="0.2">
      <c r="B76" s="120"/>
      <c r="C76" s="56" t="s">
        <v>270</v>
      </c>
      <c r="D76" s="56" t="s">
        <v>96</v>
      </c>
      <c r="E76" s="57" t="s">
        <v>407</v>
      </c>
      <c r="F76" s="58" t="s">
        <v>408</v>
      </c>
      <c r="G76" s="59" t="s">
        <v>201</v>
      </c>
      <c r="H76" s="60">
        <v>23.22</v>
      </c>
      <c r="I76" s="61">
        <v>257.77999999999997</v>
      </c>
      <c r="J76" s="60">
        <v>5985.7</v>
      </c>
      <c r="K76" s="68">
        <v>0</v>
      </c>
      <c r="L76" s="69">
        <f t="shared" si="0"/>
        <v>257.77999999999997</v>
      </c>
      <c r="M76" s="273">
        <f t="shared" si="1"/>
        <v>0</v>
      </c>
      <c r="N76" s="71">
        <f t="shared" si="2"/>
        <v>23.22</v>
      </c>
      <c r="O76" s="72">
        <f t="shared" si="3"/>
        <v>257.77999999999997</v>
      </c>
      <c r="P76" s="274">
        <f t="shared" si="4"/>
        <v>5985.6515999999992</v>
      </c>
      <c r="R76" s="194"/>
      <c r="T76" s="121">
        <f t="shared" si="5"/>
        <v>23.92</v>
      </c>
    </row>
    <row r="77" spans="2:20" s="121" customFormat="1" ht="16.5" customHeight="1" x14ac:dyDescent="0.2">
      <c r="B77" s="120"/>
      <c r="C77" s="56" t="s">
        <v>273</v>
      </c>
      <c r="D77" s="56" t="s">
        <v>96</v>
      </c>
      <c r="E77" s="57" t="s">
        <v>410</v>
      </c>
      <c r="F77" s="58" t="s">
        <v>411</v>
      </c>
      <c r="G77" s="59" t="s">
        <v>201</v>
      </c>
      <c r="H77" s="60">
        <v>20.420000000000002</v>
      </c>
      <c r="I77" s="61">
        <v>154.66999999999999</v>
      </c>
      <c r="J77" s="60">
        <v>3158.4</v>
      </c>
      <c r="K77" s="68">
        <f t="shared" ref="K77" si="12">ROUND(42.3/42.2*T77-T77,2)</f>
        <v>0.05</v>
      </c>
      <c r="L77" s="69">
        <f t="shared" si="0"/>
        <v>154.66999999999999</v>
      </c>
      <c r="M77" s="273">
        <f t="shared" si="1"/>
        <v>7.7334999999999994</v>
      </c>
      <c r="N77" s="71">
        <f t="shared" si="2"/>
        <v>20.470000000000002</v>
      </c>
      <c r="O77" s="72">
        <f t="shared" si="3"/>
        <v>154.66999999999999</v>
      </c>
      <c r="P77" s="274">
        <f t="shared" si="4"/>
        <v>3166.0949000000001</v>
      </c>
      <c r="R77" s="194"/>
      <c r="T77" s="121">
        <f t="shared" si="5"/>
        <v>21.04</v>
      </c>
    </row>
    <row r="78" spans="2:20" s="170" customFormat="1" ht="22.9" customHeight="1" x14ac:dyDescent="0.2">
      <c r="B78" s="165"/>
      <c r="C78" s="252"/>
      <c r="D78" s="253" t="s">
        <v>4</v>
      </c>
      <c r="E78" s="254" t="s">
        <v>412</v>
      </c>
      <c r="F78" s="254" t="s">
        <v>413</v>
      </c>
      <c r="G78" s="252"/>
      <c r="H78" s="252"/>
      <c r="I78" s="255"/>
      <c r="J78" s="256">
        <f>+SUBTOTAL(9,J79)</f>
        <v>12875.7</v>
      </c>
      <c r="K78" s="261"/>
      <c r="L78" s="262"/>
      <c r="M78" s="279">
        <f>M79</f>
        <v>30.893400000000003</v>
      </c>
      <c r="N78" s="280"/>
      <c r="O78" s="262"/>
      <c r="P78" s="279">
        <f>P79</f>
        <v>12906.575999999999</v>
      </c>
      <c r="Q78" s="121"/>
      <c r="R78" s="194"/>
      <c r="T78" s="121">
        <f t="shared" si="5"/>
        <v>0</v>
      </c>
    </row>
    <row r="79" spans="2:20" s="121" customFormat="1" ht="16.5" customHeight="1" x14ac:dyDescent="0.2">
      <c r="B79" s="120"/>
      <c r="C79" s="56" t="s">
        <v>276</v>
      </c>
      <c r="D79" s="56" t="s">
        <v>96</v>
      </c>
      <c r="E79" s="57" t="s">
        <v>415</v>
      </c>
      <c r="F79" s="58" t="s">
        <v>416</v>
      </c>
      <c r="G79" s="59" t="s">
        <v>201</v>
      </c>
      <c r="H79" s="60">
        <v>112.53</v>
      </c>
      <c r="I79" s="61">
        <v>114.42</v>
      </c>
      <c r="J79" s="60">
        <v>12875.7</v>
      </c>
      <c r="K79" s="68">
        <f t="shared" ref="K79" si="13">ROUND(42.3/42.2*T79-T79,2)</f>
        <v>0.27</v>
      </c>
      <c r="L79" s="69">
        <f t="shared" si="0"/>
        <v>114.42</v>
      </c>
      <c r="M79" s="273">
        <f t="shared" si="1"/>
        <v>30.893400000000003</v>
      </c>
      <c r="N79" s="71">
        <f t="shared" si="2"/>
        <v>112.8</v>
      </c>
      <c r="O79" s="72">
        <f t="shared" si="3"/>
        <v>114.42</v>
      </c>
      <c r="P79" s="274">
        <f t="shared" si="4"/>
        <v>12906.575999999999</v>
      </c>
      <c r="R79" s="194"/>
      <c r="T79" s="121">
        <f t="shared" si="5"/>
        <v>115.94</v>
      </c>
    </row>
    <row r="80" spans="2:20" s="121" customFormat="1" ht="6.95" customHeight="1" x14ac:dyDescent="0.2">
      <c r="B80" s="120"/>
      <c r="C80" s="120"/>
      <c r="D80" s="120"/>
      <c r="E80" s="120"/>
      <c r="F80" s="120"/>
      <c r="G80" s="120"/>
      <c r="H80" s="120"/>
      <c r="I80" s="153"/>
      <c r="J80" s="120"/>
    </row>
    <row r="81" spans="4:16" ht="18" customHeight="1" x14ac:dyDescent="0.2">
      <c r="D81" s="42"/>
      <c r="E81" s="43" t="s">
        <v>900</v>
      </c>
      <c r="F81" s="44"/>
      <c r="G81" s="44"/>
      <c r="H81" s="45"/>
      <c r="I81" s="44"/>
      <c r="J81" s="46">
        <f>ROUND(SUBTOTAL(9,J12:J79),2)</f>
        <v>405073.4</v>
      </c>
      <c r="K81" s="49"/>
      <c r="L81" s="46"/>
      <c r="M81" s="281">
        <f>M78+M74+M71+M52+M46+M39+M36+M14</f>
        <v>619.74160000000006</v>
      </c>
      <c r="N81" s="49"/>
      <c r="O81" s="46"/>
      <c r="P81" s="281">
        <f>P78+P74+P71+P52+P46+P39+P36+P14</f>
        <v>405692.87030000001</v>
      </c>
    </row>
    <row r="82" spans="4:16" ht="12.75" x14ac:dyDescent="0.2">
      <c r="H82" s="50"/>
      <c r="I82" s="8"/>
      <c r="J82" s="9"/>
    </row>
    <row r="83" spans="4:16" ht="14.25" x14ac:dyDescent="0.2">
      <c r="E83" s="6" t="s">
        <v>849</v>
      </c>
      <c r="F83" s="6"/>
      <c r="G83" s="320" t="s">
        <v>1224</v>
      </c>
      <c r="H83" s="50"/>
      <c r="I83" s="8"/>
      <c r="J83" s="6"/>
      <c r="K83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83" xr:uid="{11230316-91E0-4D8B-B1B6-8A917B253FA8}"/>
  <mergeCells count="4">
    <mergeCell ref="Q12:Q14"/>
    <mergeCell ref="K9:M9"/>
    <mergeCell ref="N9:P9"/>
    <mergeCell ref="R12:R14"/>
  </mergeCells>
  <conditionalFormatting sqref="D3:E8 H3:J8 Q9:HI10 D1:J2 D11:HI11 K12:O14 K1:HI8 K15:L79">
    <cfRule type="cellIs" dxfId="386" priority="97" operator="lessThan">
      <formula>0</formula>
    </cfRule>
  </conditionalFormatting>
  <conditionalFormatting sqref="G4">
    <cfRule type="cellIs" dxfId="385" priority="96" operator="lessThan">
      <formula>0</formula>
    </cfRule>
  </conditionalFormatting>
  <conditionalFormatting sqref="G3">
    <cfRule type="cellIs" dxfId="384" priority="95" operator="lessThan">
      <formula>0</formula>
    </cfRule>
  </conditionalFormatting>
  <conditionalFormatting sqref="K12:O14 K15:L79">
    <cfRule type="cellIs" dxfId="383" priority="42" operator="lessThan">
      <formula>0</formula>
    </cfRule>
  </conditionalFormatting>
  <conditionalFormatting sqref="D81:D83 E81:HS82 Q83:HS83">
    <cfRule type="cellIs" dxfId="382" priority="31" operator="lessThan">
      <formula>0</formula>
    </cfRule>
  </conditionalFormatting>
  <conditionalFormatting sqref="N15:O79">
    <cfRule type="cellIs" dxfId="381" priority="12" operator="lessThan">
      <formula>0</formula>
    </cfRule>
  </conditionalFormatting>
  <conditionalFormatting sqref="N15:O79">
    <cfRule type="cellIs" dxfId="380" priority="11" operator="lessThan">
      <formula>0</formula>
    </cfRule>
  </conditionalFormatting>
  <conditionalFormatting sqref="E9:J10">
    <cfRule type="cellIs" dxfId="379" priority="9" operator="lessThan">
      <formula>0</formula>
    </cfRule>
  </conditionalFormatting>
  <conditionalFormatting sqref="K9:L10 N9:O9">
    <cfRule type="cellIs" dxfId="378" priority="8" operator="lessThan">
      <formula>0</formula>
    </cfRule>
  </conditionalFormatting>
  <conditionalFormatting sqref="M10:P10">
    <cfRule type="cellIs" dxfId="377" priority="7" operator="lessThan">
      <formula>0</formula>
    </cfRule>
  </conditionalFormatting>
  <conditionalFormatting sqref="P14">
    <cfRule type="cellIs" dxfId="376" priority="6" operator="lessThan">
      <formula>0</formula>
    </cfRule>
  </conditionalFormatting>
  <conditionalFormatting sqref="P14">
    <cfRule type="cellIs" dxfId="375" priority="5" operator="lessThan">
      <formula>0</formula>
    </cfRule>
  </conditionalFormatting>
  <conditionalFormatting sqref="G83:I83 L83:P83">
    <cfRule type="cellIs" dxfId="374" priority="4" operator="lessThan">
      <formula>0</formula>
    </cfRule>
  </conditionalFormatting>
  <conditionalFormatting sqref="G83:I83 L83:M83">
    <cfRule type="cellIs" dxfId="373" priority="3" operator="lessThan">
      <formula>0</formula>
    </cfRule>
  </conditionalFormatting>
  <conditionalFormatting sqref="G83:I83">
    <cfRule type="cellIs" dxfId="372" priority="2" operator="lessThan">
      <formula>0</formula>
    </cfRule>
  </conditionalFormatting>
  <conditionalFormatting sqref="G83:I83">
    <cfRule type="cellIs" dxfId="371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5" fitToHeight="0" orientation="landscape" r:id="rId1"/>
  <headerFooter>
    <oddFooter>&amp;CStrana &amp;P z &amp;N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pageSetUpPr fitToPage="1"/>
  </sheetPr>
  <dimension ref="B1:Y85"/>
  <sheetViews>
    <sheetView showGridLines="0" view="pageBreakPreview" topLeftCell="A46" zoomScale="60" zoomScaleNormal="90" workbookViewId="0">
      <selection activeCell="M69" sqref="M69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4" width="16.6640625" style="8" customWidth="1"/>
    <col min="15" max="15" width="20.1640625" style="8" bestFit="1" customWidth="1"/>
    <col min="16" max="16" width="19.1640625" style="8" bestFit="1" customWidth="1"/>
    <col min="17" max="17" width="19.1640625" style="8" customWidth="1"/>
    <col min="18" max="18" width="20.83203125" style="8" customWidth="1"/>
    <col min="19" max="19" width="21.83203125" style="8" bestFit="1" customWidth="1"/>
    <col min="20" max="20" width="0" style="8" hidden="1" customWidth="1"/>
    <col min="21" max="25" width="9.33203125" style="8" hidden="1" customWidth="1"/>
    <col min="26" max="16384" width="9.33203125" style="8"/>
  </cols>
  <sheetData>
    <row r="1" spans="2:19" ht="18.95" customHeight="1" x14ac:dyDescent="0.2">
      <c r="F1" s="11"/>
      <c r="G1" s="89"/>
      <c r="H1" s="88"/>
      <c r="I1" s="8"/>
      <c r="J1" s="9"/>
    </row>
    <row r="2" spans="2:19" s="88" customFormat="1" ht="18" customHeight="1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19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19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19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19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19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19" s="14" customFormat="1" ht="18" customHeight="1" x14ac:dyDescent="0.2">
      <c r="D8" s="146"/>
      <c r="F8" s="11"/>
      <c r="G8" s="105"/>
      <c r="H8" s="145"/>
      <c r="K8" s="149" t="s">
        <v>851</v>
      </c>
      <c r="L8" s="180" t="str">
        <f>+C12</f>
        <v>C2.2 - Stoka C2.2</v>
      </c>
      <c r="M8" s="180"/>
      <c r="O8" s="151"/>
    </row>
    <row r="9" spans="2:19" s="15" customFormat="1" ht="20.100000000000001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  <c r="Q9" s="87"/>
    </row>
    <row r="10" spans="2:19" s="15" customFormat="1" ht="24" customHeight="1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41"/>
      <c r="R10" s="15" t="s">
        <v>1146</v>
      </c>
    </row>
    <row r="11" spans="2:19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19" s="121" customFormat="1" ht="22.9" customHeight="1" x14ac:dyDescent="0.25">
      <c r="B12" s="120"/>
      <c r="C12" s="152" t="s">
        <v>497</v>
      </c>
      <c r="D12" s="120"/>
      <c r="E12" s="120"/>
      <c r="F12" s="120"/>
      <c r="G12" s="120"/>
      <c r="H12" s="120"/>
      <c r="I12" s="153"/>
      <c r="J12" s="154">
        <f>+SUBTOTAL(9,J13:J81)</f>
        <v>125750.59999999999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19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+SUBTOTAL(9,J14:J81)</f>
        <v>125750.59999999999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19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+SUBTOTAL(9,J15:J39)</f>
        <v>46035.399999999994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SUM(M15:M39)</f>
        <v>-4717.8851999999997</v>
      </c>
      <c r="N14" s="278" t="str">
        <f>IF(ISBLANK(H14),"",H14-K14)</f>
        <v/>
      </c>
      <c r="O14" s="272" t="str">
        <f>IF(ISBLANK(H14),"",J14-L14)</f>
        <v/>
      </c>
      <c r="P14" s="272">
        <f>SUM(P15:P39)</f>
        <v>41317.553199999988</v>
      </c>
      <c r="Q14" s="218" t="s">
        <v>1216</v>
      </c>
    </row>
    <row r="15" spans="2:19" s="121" customFormat="1" ht="16.5" customHeight="1" x14ac:dyDescent="0.2">
      <c r="B15" s="120"/>
      <c r="C15" s="56" t="s">
        <v>8</v>
      </c>
      <c r="D15" s="56" t="s">
        <v>96</v>
      </c>
      <c r="E15" s="57" t="s">
        <v>106</v>
      </c>
      <c r="F15" s="58" t="s">
        <v>107</v>
      </c>
      <c r="G15" s="59" t="s">
        <v>108</v>
      </c>
      <c r="H15" s="60">
        <v>4.95</v>
      </c>
      <c r="I15" s="61">
        <v>31.57</v>
      </c>
      <c r="J15" s="60">
        <v>156.30000000000001</v>
      </c>
      <c r="K15" s="68">
        <f>ROUND(10.7/11.8*Q15-Q15,2)</f>
        <v>-0.52</v>
      </c>
      <c r="L15" s="69">
        <f>I15</f>
        <v>31.57</v>
      </c>
      <c r="M15" s="273">
        <f>K15*L15</f>
        <v>-16.416399999999999</v>
      </c>
      <c r="N15" s="71">
        <f>H15+K15</f>
        <v>4.43</v>
      </c>
      <c r="O15" s="72">
        <f>I15</f>
        <v>31.57</v>
      </c>
      <c r="P15" s="274">
        <f>N15*O15</f>
        <v>139.85509999999999</v>
      </c>
      <c r="Q15" s="121">
        <f>ROUND(11.8/10.5*H15,2)</f>
        <v>5.56</v>
      </c>
      <c r="S15" s="194"/>
    </row>
    <row r="16" spans="2:19" s="121" customFormat="1" ht="16.5" customHeight="1" x14ac:dyDescent="0.2">
      <c r="B16" s="120"/>
      <c r="C16" s="56" t="s">
        <v>13</v>
      </c>
      <c r="D16" s="56" t="s">
        <v>96</v>
      </c>
      <c r="E16" s="57" t="s">
        <v>110</v>
      </c>
      <c r="F16" s="58" t="s">
        <v>111</v>
      </c>
      <c r="G16" s="59" t="s">
        <v>108</v>
      </c>
      <c r="H16" s="60">
        <v>4.95</v>
      </c>
      <c r="I16" s="61">
        <v>23.67</v>
      </c>
      <c r="J16" s="60">
        <v>117.2</v>
      </c>
      <c r="K16" s="68">
        <f t="shared" ref="K16:K45" si="0">ROUND(10.7/11.8*Q16-Q16,2)</f>
        <v>-0.52</v>
      </c>
      <c r="L16" s="69">
        <f t="shared" ref="L16:L79" si="1">I16</f>
        <v>23.67</v>
      </c>
      <c r="M16" s="273">
        <f t="shared" ref="M16:M79" si="2">K16*L16</f>
        <v>-12.308400000000001</v>
      </c>
      <c r="N16" s="71">
        <f t="shared" ref="N16:N79" si="3">H16+K16</f>
        <v>4.43</v>
      </c>
      <c r="O16" s="72">
        <f t="shared" ref="O16:O79" si="4">I16</f>
        <v>23.67</v>
      </c>
      <c r="P16" s="274">
        <f t="shared" ref="P16:P79" si="5">N16*O16</f>
        <v>104.85810000000001</v>
      </c>
      <c r="Q16" s="121">
        <f t="shared" ref="Q16:Q79" si="6">ROUND(11.8/10.5*H16,2)</f>
        <v>5.56</v>
      </c>
      <c r="S16" s="194"/>
    </row>
    <row r="17" spans="2:19" s="121" customFormat="1" ht="16.5" customHeight="1" x14ac:dyDescent="0.2">
      <c r="B17" s="120"/>
      <c r="C17" s="56" t="s">
        <v>100</v>
      </c>
      <c r="D17" s="56" t="s">
        <v>96</v>
      </c>
      <c r="E17" s="57" t="s">
        <v>113</v>
      </c>
      <c r="F17" s="58" t="s">
        <v>114</v>
      </c>
      <c r="G17" s="59" t="s">
        <v>108</v>
      </c>
      <c r="H17" s="60">
        <v>4.95</v>
      </c>
      <c r="I17" s="61">
        <v>26.3</v>
      </c>
      <c r="J17" s="60">
        <v>130.19999999999999</v>
      </c>
      <c r="K17" s="68">
        <f t="shared" si="0"/>
        <v>-0.52</v>
      </c>
      <c r="L17" s="69">
        <f t="shared" si="1"/>
        <v>26.3</v>
      </c>
      <c r="M17" s="273">
        <f t="shared" si="2"/>
        <v>-13.676</v>
      </c>
      <c r="N17" s="71">
        <f t="shared" si="3"/>
        <v>4.43</v>
      </c>
      <c r="O17" s="72">
        <f t="shared" si="4"/>
        <v>26.3</v>
      </c>
      <c r="P17" s="274">
        <f t="shared" si="5"/>
        <v>116.509</v>
      </c>
      <c r="Q17" s="121">
        <f t="shared" si="6"/>
        <v>5.56</v>
      </c>
      <c r="S17" s="194"/>
    </row>
    <row r="18" spans="2:19" s="121" customFormat="1" ht="16.5" customHeight="1" x14ac:dyDescent="0.2">
      <c r="B18" s="120"/>
      <c r="C18" s="56" t="s">
        <v>105</v>
      </c>
      <c r="D18" s="56" t="s">
        <v>96</v>
      </c>
      <c r="E18" s="57" t="s">
        <v>116</v>
      </c>
      <c r="F18" s="58" t="s">
        <v>117</v>
      </c>
      <c r="G18" s="59" t="s">
        <v>108</v>
      </c>
      <c r="H18" s="60">
        <v>3.85</v>
      </c>
      <c r="I18" s="61">
        <v>40.770000000000003</v>
      </c>
      <c r="J18" s="60">
        <v>157</v>
      </c>
      <c r="K18" s="68">
        <f t="shared" si="0"/>
        <v>-0.4</v>
      </c>
      <c r="L18" s="69">
        <f t="shared" si="1"/>
        <v>40.770000000000003</v>
      </c>
      <c r="M18" s="273">
        <f t="shared" si="2"/>
        <v>-16.308000000000003</v>
      </c>
      <c r="N18" s="71">
        <f t="shared" si="3"/>
        <v>3.45</v>
      </c>
      <c r="O18" s="72">
        <f t="shared" si="4"/>
        <v>40.770000000000003</v>
      </c>
      <c r="P18" s="274">
        <f t="shared" si="5"/>
        <v>140.65650000000002</v>
      </c>
      <c r="Q18" s="121">
        <f t="shared" si="6"/>
        <v>4.33</v>
      </c>
      <c r="S18" s="194"/>
    </row>
    <row r="19" spans="2:19" s="121" customFormat="1" ht="16.5" customHeight="1" x14ac:dyDescent="0.2">
      <c r="B19" s="120"/>
      <c r="C19" s="56" t="s">
        <v>109</v>
      </c>
      <c r="D19" s="56" t="s">
        <v>96</v>
      </c>
      <c r="E19" s="57" t="s">
        <v>125</v>
      </c>
      <c r="F19" s="58" t="s">
        <v>126</v>
      </c>
      <c r="G19" s="59" t="s">
        <v>108</v>
      </c>
      <c r="H19" s="60">
        <v>7.35</v>
      </c>
      <c r="I19" s="61">
        <v>55.24</v>
      </c>
      <c r="J19" s="60">
        <v>406</v>
      </c>
      <c r="K19" s="68">
        <v>0</v>
      </c>
      <c r="L19" s="69">
        <f t="shared" si="1"/>
        <v>55.24</v>
      </c>
      <c r="M19" s="273">
        <f t="shared" si="2"/>
        <v>0</v>
      </c>
      <c r="N19" s="71">
        <f t="shared" si="3"/>
        <v>7.35</v>
      </c>
      <c r="O19" s="72">
        <f t="shared" si="4"/>
        <v>55.24</v>
      </c>
      <c r="P19" s="274">
        <f t="shared" si="5"/>
        <v>406.01400000000001</v>
      </c>
      <c r="Q19" s="121">
        <f t="shared" si="6"/>
        <v>8.26</v>
      </c>
      <c r="S19" s="194"/>
    </row>
    <row r="20" spans="2:19" s="121" customFormat="1" ht="16.5" customHeight="1" x14ac:dyDescent="0.2">
      <c r="B20" s="120"/>
      <c r="C20" s="56" t="s">
        <v>112</v>
      </c>
      <c r="D20" s="56" t="s">
        <v>96</v>
      </c>
      <c r="E20" s="57" t="s">
        <v>128</v>
      </c>
      <c r="F20" s="58" t="s">
        <v>129</v>
      </c>
      <c r="G20" s="59" t="s">
        <v>108</v>
      </c>
      <c r="H20" s="60">
        <v>3.85</v>
      </c>
      <c r="I20" s="61">
        <v>151.25</v>
      </c>
      <c r="J20" s="60">
        <v>582.29999999999995</v>
      </c>
      <c r="K20" s="68">
        <v>0</v>
      </c>
      <c r="L20" s="69">
        <f t="shared" si="1"/>
        <v>151.25</v>
      </c>
      <c r="M20" s="273">
        <f t="shared" si="2"/>
        <v>0</v>
      </c>
      <c r="N20" s="71">
        <f t="shared" si="3"/>
        <v>3.85</v>
      </c>
      <c r="O20" s="72">
        <f t="shared" si="4"/>
        <v>151.25</v>
      </c>
      <c r="P20" s="274">
        <f t="shared" si="5"/>
        <v>582.3125</v>
      </c>
      <c r="Q20" s="121">
        <f t="shared" si="6"/>
        <v>4.33</v>
      </c>
      <c r="S20" s="194"/>
    </row>
    <row r="21" spans="2:19" s="121" customFormat="1" ht="16.5" customHeight="1" x14ac:dyDescent="0.2">
      <c r="B21" s="120"/>
      <c r="C21" s="56" t="s">
        <v>115</v>
      </c>
      <c r="D21" s="56" t="s">
        <v>96</v>
      </c>
      <c r="E21" s="57" t="s">
        <v>142</v>
      </c>
      <c r="F21" s="58" t="s">
        <v>143</v>
      </c>
      <c r="G21" s="59" t="s">
        <v>133</v>
      </c>
      <c r="H21" s="60">
        <v>1.1000000000000001</v>
      </c>
      <c r="I21" s="61">
        <v>170.98</v>
      </c>
      <c r="J21" s="60">
        <v>188.1</v>
      </c>
      <c r="K21" s="68">
        <f t="shared" si="0"/>
        <v>-0.12</v>
      </c>
      <c r="L21" s="69">
        <f t="shared" si="1"/>
        <v>170.98</v>
      </c>
      <c r="M21" s="273">
        <f t="shared" si="2"/>
        <v>-20.517599999999998</v>
      </c>
      <c r="N21" s="71">
        <f t="shared" si="3"/>
        <v>0.98000000000000009</v>
      </c>
      <c r="O21" s="72">
        <f t="shared" si="4"/>
        <v>170.98</v>
      </c>
      <c r="P21" s="274">
        <f t="shared" si="5"/>
        <v>167.56040000000002</v>
      </c>
      <c r="Q21" s="121">
        <f t="shared" si="6"/>
        <v>1.24</v>
      </c>
      <c r="S21" s="194"/>
    </row>
    <row r="22" spans="2:19" s="121" customFormat="1" ht="16.5" customHeight="1" x14ac:dyDescent="0.2">
      <c r="B22" s="120"/>
      <c r="C22" s="56" t="s">
        <v>118</v>
      </c>
      <c r="D22" s="56" t="s">
        <v>96</v>
      </c>
      <c r="E22" s="57" t="s">
        <v>145</v>
      </c>
      <c r="F22" s="58" t="s">
        <v>146</v>
      </c>
      <c r="G22" s="59" t="s">
        <v>133</v>
      </c>
      <c r="H22" s="60">
        <v>2.2000000000000002</v>
      </c>
      <c r="I22" s="61">
        <v>147.30000000000001</v>
      </c>
      <c r="J22" s="60">
        <v>324.10000000000002</v>
      </c>
      <c r="K22" s="68">
        <f t="shared" si="0"/>
        <v>-0.23</v>
      </c>
      <c r="L22" s="69">
        <f t="shared" si="1"/>
        <v>147.30000000000001</v>
      </c>
      <c r="M22" s="273">
        <f t="shared" si="2"/>
        <v>-33.879000000000005</v>
      </c>
      <c r="N22" s="71">
        <f t="shared" si="3"/>
        <v>1.9700000000000002</v>
      </c>
      <c r="O22" s="72">
        <f t="shared" si="4"/>
        <v>147.30000000000001</v>
      </c>
      <c r="P22" s="274">
        <f t="shared" si="5"/>
        <v>290.18100000000004</v>
      </c>
      <c r="Q22" s="121">
        <f t="shared" si="6"/>
        <v>2.4700000000000002</v>
      </c>
      <c r="S22" s="194"/>
    </row>
    <row r="23" spans="2:19" s="121" customFormat="1" ht="16.5" customHeight="1" x14ac:dyDescent="0.2">
      <c r="B23" s="120"/>
      <c r="C23" s="56" t="s">
        <v>121</v>
      </c>
      <c r="D23" s="56" t="s">
        <v>96</v>
      </c>
      <c r="E23" s="57" t="s">
        <v>148</v>
      </c>
      <c r="F23" s="58" t="s">
        <v>149</v>
      </c>
      <c r="G23" s="59" t="s">
        <v>150</v>
      </c>
      <c r="H23" s="60">
        <v>1.64</v>
      </c>
      <c r="I23" s="61">
        <v>38.14</v>
      </c>
      <c r="J23" s="60">
        <v>62.5</v>
      </c>
      <c r="K23" s="68">
        <f t="shared" si="0"/>
        <v>-0.17</v>
      </c>
      <c r="L23" s="69">
        <f t="shared" si="1"/>
        <v>38.14</v>
      </c>
      <c r="M23" s="273">
        <f t="shared" si="2"/>
        <v>-6.4838000000000005</v>
      </c>
      <c r="N23" s="71">
        <f t="shared" si="3"/>
        <v>1.47</v>
      </c>
      <c r="O23" s="72">
        <f t="shared" si="4"/>
        <v>38.14</v>
      </c>
      <c r="P23" s="274">
        <f t="shared" si="5"/>
        <v>56.065800000000003</v>
      </c>
      <c r="Q23" s="121">
        <f t="shared" si="6"/>
        <v>1.84</v>
      </c>
      <c r="S23" s="194"/>
    </row>
    <row r="24" spans="2:19" s="121" customFormat="1" ht="16.5" customHeight="1" x14ac:dyDescent="0.2">
      <c r="B24" s="120"/>
      <c r="C24" s="56" t="s">
        <v>124</v>
      </c>
      <c r="D24" s="56" t="s">
        <v>96</v>
      </c>
      <c r="E24" s="57" t="s">
        <v>155</v>
      </c>
      <c r="F24" s="58" t="s">
        <v>156</v>
      </c>
      <c r="G24" s="59" t="s">
        <v>150</v>
      </c>
      <c r="H24" s="60">
        <v>3.38</v>
      </c>
      <c r="I24" s="61">
        <v>257.77999999999997</v>
      </c>
      <c r="J24" s="60">
        <v>871.3</v>
      </c>
      <c r="K24" s="68">
        <f t="shared" si="0"/>
        <v>-0.35</v>
      </c>
      <c r="L24" s="69">
        <f t="shared" si="1"/>
        <v>257.77999999999997</v>
      </c>
      <c r="M24" s="273">
        <f t="shared" si="2"/>
        <v>-90.222999999999985</v>
      </c>
      <c r="N24" s="71">
        <f t="shared" si="3"/>
        <v>3.03</v>
      </c>
      <c r="O24" s="72">
        <f t="shared" si="4"/>
        <v>257.77999999999997</v>
      </c>
      <c r="P24" s="274">
        <f t="shared" si="5"/>
        <v>781.07339999999988</v>
      </c>
      <c r="Q24" s="121">
        <f t="shared" si="6"/>
        <v>3.8</v>
      </c>
      <c r="S24" s="194"/>
    </row>
    <row r="25" spans="2:19" s="121" customFormat="1" ht="16.5" customHeight="1" x14ac:dyDescent="0.2">
      <c r="B25" s="120"/>
      <c r="C25" s="56" t="s">
        <v>127</v>
      </c>
      <c r="D25" s="56" t="s">
        <v>96</v>
      </c>
      <c r="E25" s="57" t="s">
        <v>157</v>
      </c>
      <c r="F25" s="58" t="s">
        <v>158</v>
      </c>
      <c r="G25" s="59" t="s">
        <v>150</v>
      </c>
      <c r="H25" s="60">
        <v>13.69</v>
      </c>
      <c r="I25" s="61">
        <v>257.77999999999997</v>
      </c>
      <c r="J25" s="60">
        <v>3529</v>
      </c>
      <c r="K25" s="68">
        <f t="shared" si="0"/>
        <v>-1.43</v>
      </c>
      <c r="L25" s="69">
        <f t="shared" si="1"/>
        <v>257.77999999999997</v>
      </c>
      <c r="M25" s="273">
        <f t="shared" si="2"/>
        <v>-368.62539999999996</v>
      </c>
      <c r="N25" s="71">
        <f t="shared" si="3"/>
        <v>12.26</v>
      </c>
      <c r="O25" s="72">
        <f t="shared" si="4"/>
        <v>257.77999999999997</v>
      </c>
      <c r="P25" s="274">
        <f t="shared" si="5"/>
        <v>3160.3827999999994</v>
      </c>
      <c r="Q25" s="121">
        <f t="shared" si="6"/>
        <v>15.38</v>
      </c>
      <c r="S25" s="194"/>
    </row>
    <row r="26" spans="2:19" s="121" customFormat="1" ht="16.5" customHeight="1" x14ac:dyDescent="0.2">
      <c r="B26" s="120"/>
      <c r="C26" s="56" t="s">
        <v>130</v>
      </c>
      <c r="D26" s="56" t="s">
        <v>96</v>
      </c>
      <c r="E26" s="57" t="s">
        <v>160</v>
      </c>
      <c r="F26" s="58" t="s">
        <v>161</v>
      </c>
      <c r="G26" s="59" t="s">
        <v>150</v>
      </c>
      <c r="H26" s="60">
        <v>4.1100000000000003</v>
      </c>
      <c r="I26" s="61">
        <v>13.15</v>
      </c>
      <c r="J26" s="60">
        <v>54</v>
      </c>
      <c r="K26" s="68">
        <f t="shared" si="0"/>
        <v>-0.43</v>
      </c>
      <c r="L26" s="69">
        <f t="shared" si="1"/>
        <v>13.15</v>
      </c>
      <c r="M26" s="273">
        <f t="shared" si="2"/>
        <v>-5.6544999999999996</v>
      </c>
      <c r="N26" s="71">
        <f t="shared" si="3"/>
        <v>3.68</v>
      </c>
      <c r="O26" s="72">
        <f t="shared" si="4"/>
        <v>13.15</v>
      </c>
      <c r="P26" s="274">
        <f t="shared" si="5"/>
        <v>48.392000000000003</v>
      </c>
      <c r="Q26" s="121">
        <f t="shared" si="6"/>
        <v>4.62</v>
      </c>
      <c r="S26" s="194"/>
    </row>
    <row r="27" spans="2:19" s="121" customFormat="1" ht="16.5" customHeight="1" x14ac:dyDescent="0.2">
      <c r="B27" s="120"/>
      <c r="C27" s="56" t="s">
        <v>134</v>
      </c>
      <c r="D27" s="56" t="s">
        <v>96</v>
      </c>
      <c r="E27" s="57" t="s">
        <v>163</v>
      </c>
      <c r="F27" s="58" t="s">
        <v>164</v>
      </c>
      <c r="G27" s="59" t="s">
        <v>150</v>
      </c>
      <c r="H27" s="60">
        <v>20.11</v>
      </c>
      <c r="I27" s="61">
        <v>315.64999999999998</v>
      </c>
      <c r="J27" s="60">
        <v>6347.7</v>
      </c>
      <c r="K27" s="68">
        <f t="shared" si="0"/>
        <v>-2.11</v>
      </c>
      <c r="L27" s="69">
        <f t="shared" si="1"/>
        <v>315.64999999999998</v>
      </c>
      <c r="M27" s="273">
        <f t="shared" si="2"/>
        <v>-666.02149999999995</v>
      </c>
      <c r="N27" s="71">
        <f t="shared" si="3"/>
        <v>18</v>
      </c>
      <c r="O27" s="72">
        <f t="shared" si="4"/>
        <v>315.64999999999998</v>
      </c>
      <c r="P27" s="274">
        <f t="shared" si="5"/>
        <v>5681.7</v>
      </c>
      <c r="Q27" s="121">
        <f t="shared" si="6"/>
        <v>22.6</v>
      </c>
      <c r="S27" s="194"/>
    </row>
    <row r="28" spans="2:19" s="121" customFormat="1" ht="16.5" customHeight="1" x14ac:dyDescent="0.2">
      <c r="B28" s="120"/>
      <c r="C28" s="56" t="s">
        <v>2</v>
      </c>
      <c r="D28" s="56" t="s">
        <v>96</v>
      </c>
      <c r="E28" s="57" t="s">
        <v>166</v>
      </c>
      <c r="F28" s="58" t="s">
        <v>167</v>
      </c>
      <c r="G28" s="59" t="s">
        <v>150</v>
      </c>
      <c r="H28" s="60">
        <v>6.03</v>
      </c>
      <c r="I28" s="61">
        <v>15.78</v>
      </c>
      <c r="J28" s="60">
        <v>95.2</v>
      </c>
      <c r="K28" s="68">
        <f t="shared" si="0"/>
        <v>-0.63</v>
      </c>
      <c r="L28" s="69">
        <f t="shared" si="1"/>
        <v>15.78</v>
      </c>
      <c r="M28" s="273">
        <f t="shared" si="2"/>
        <v>-9.9413999999999998</v>
      </c>
      <c r="N28" s="71">
        <f t="shared" si="3"/>
        <v>5.4</v>
      </c>
      <c r="O28" s="72">
        <f t="shared" si="4"/>
        <v>15.78</v>
      </c>
      <c r="P28" s="274">
        <f t="shared" si="5"/>
        <v>85.212000000000003</v>
      </c>
      <c r="Q28" s="121">
        <f t="shared" si="6"/>
        <v>6.78</v>
      </c>
      <c r="S28" s="194"/>
    </row>
    <row r="29" spans="2:19" s="121" customFormat="1" ht="16.5" customHeight="1" x14ac:dyDescent="0.2">
      <c r="B29" s="120"/>
      <c r="C29" s="56" t="s">
        <v>141</v>
      </c>
      <c r="D29" s="56" t="s">
        <v>96</v>
      </c>
      <c r="E29" s="57" t="s">
        <v>175</v>
      </c>
      <c r="F29" s="58" t="s">
        <v>176</v>
      </c>
      <c r="G29" s="59" t="s">
        <v>108</v>
      </c>
      <c r="H29" s="60">
        <v>54.49</v>
      </c>
      <c r="I29" s="61">
        <v>99.96</v>
      </c>
      <c r="J29" s="60">
        <v>5446.8</v>
      </c>
      <c r="K29" s="68">
        <f t="shared" si="0"/>
        <v>-5.71</v>
      </c>
      <c r="L29" s="69">
        <f t="shared" si="1"/>
        <v>99.96</v>
      </c>
      <c r="M29" s="273">
        <f t="shared" si="2"/>
        <v>-570.77159999999992</v>
      </c>
      <c r="N29" s="71">
        <f t="shared" si="3"/>
        <v>48.78</v>
      </c>
      <c r="O29" s="72">
        <f t="shared" si="4"/>
        <v>99.96</v>
      </c>
      <c r="P29" s="274">
        <f t="shared" si="5"/>
        <v>4876.0487999999996</v>
      </c>
      <c r="Q29" s="121">
        <f t="shared" si="6"/>
        <v>61.24</v>
      </c>
      <c r="S29" s="194"/>
    </row>
    <row r="30" spans="2:19" s="121" customFormat="1" ht="16.5" customHeight="1" x14ac:dyDescent="0.2">
      <c r="B30" s="120"/>
      <c r="C30" s="56" t="s">
        <v>144</v>
      </c>
      <c r="D30" s="56" t="s">
        <v>96</v>
      </c>
      <c r="E30" s="57" t="s">
        <v>181</v>
      </c>
      <c r="F30" s="58" t="s">
        <v>182</v>
      </c>
      <c r="G30" s="59" t="s">
        <v>108</v>
      </c>
      <c r="H30" s="60">
        <v>54.49</v>
      </c>
      <c r="I30" s="61">
        <v>149.94</v>
      </c>
      <c r="J30" s="60">
        <v>8170.2</v>
      </c>
      <c r="K30" s="68">
        <f t="shared" si="0"/>
        <v>-5.71</v>
      </c>
      <c r="L30" s="69">
        <f t="shared" si="1"/>
        <v>149.94</v>
      </c>
      <c r="M30" s="273">
        <f t="shared" si="2"/>
        <v>-856.15739999999994</v>
      </c>
      <c r="N30" s="71">
        <f t="shared" si="3"/>
        <v>48.78</v>
      </c>
      <c r="O30" s="72">
        <f t="shared" si="4"/>
        <v>149.94</v>
      </c>
      <c r="P30" s="274">
        <f t="shared" si="5"/>
        <v>7314.0731999999998</v>
      </c>
      <c r="Q30" s="121">
        <f t="shared" si="6"/>
        <v>61.24</v>
      </c>
      <c r="S30" s="194"/>
    </row>
    <row r="31" spans="2:19" s="121" customFormat="1" ht="16.5" customHeight="1" x14ac:dyDescent="0.2">
      <c r="B31" s="120"/>
      <c r="C31" s="56" t="s">
        <v>147</v>
      </c>
      <c r="D31" s="56" t="s">
        <v>96</v>
      </c>
      <c r="E31" s="57" t="s">
        <v>187</v>
      </c>
      <c r="F31" s="58" t="s">
        <v>188</v>
      </c>
      <c r="G31" s="59" t="s">
        <v>150</v>
      </c>
      <c r="H31" s="60">
        <v>55.86</v>
      </c>
      <c r="I31" s="61">
        <v>97.89</v>
      </c>
      <c r="J31" s="60">
        <v>5468.1</v>
      </c>
      <c r="K31" s="68">
        <f t="shared" si="0"/>
        <v>-5.85</v>
      </c>
      <c r="L31" s="69">
        <f t="shared" si="1"/>
        <v>97.89</v>
      </c>
      <c r="M31" s="273">
        <f t="shared" si="2"/>
        <v>-572.65649999999994</v>
      </c>
      <c r="N31" s="71">
        <f t="shared" si="3"/>
        <v>50.01</v>
      </c>
      <c r="O31" s="72">
        <f t="shared" si="4"/>
        <v>97.89</v>
      </c>
      <c r="P31" s="274">
        <f t="shared" si="5"/>
        <v>4895.4789000000001</v>
      </c>
      <c r="Q31" s="121">
        <f t="shared" si="6"/>
        <v>62.78</v>
      </c>
      <c r="S31" s="194"/>
    </row>
    <row r="32" spans="2:19" s="121" customFormat="1" ht="16.5" customHeight="1" x14ac:dyDescent="0.2">
      <c r="B32" s="120"/>
      <c r="C32" s="56" t="s">
        <v>151</v>
      </c>
      <c r="D32" s="56" t="s">
        <v>96</v>
      </c>
      <c r="E32" s="57" t="s">
        <v>190</v>
      </c>
      <c r="F32" s="58" t="s">
        <v>191</v>
      </c>
      <c r="G32" s="59" t="s">
        <v>150</v>
      </c>
      <c r="H32" s="60">
        <v>11.74</v>
      </c>
      <c r="I32" s="61">
        <v>247.39</v>
      </c>
      <c r="J32" s="60">
        <v>2904.4</v>
      </c>
      <c r="K32" s="68">
        <f t="shared" si="0"/>
        <v>-1.23</v>
      </c>
      <c r="L32" s="69">
        <f t="shared" si="1"/>
        <v>247.39</v>
      </c>
      <c r="M32" s="273">
        <f t="shared" si="2"/>
        <v>-304.28969999999998</v>
      </c>
      <c r="N32" s="71">
        <f t="shared" si="3"/>
        <v>10.51</v>
      </c>
      <c r="O32" s="72">
        <f t="shared" si="4"/>
        <v>247.39</v>
      </c>
      <c r="P32" s="274">
        <f t="shared" si="5"/>
        <v>2600.0688999999998</v>
      </c>
      <c r="Q32" s="121">
        <f t="shared" si="6"/>
        <v>13.19</v>
      </c>
      <c r="S32" s="194"/>
    </row>
    <row r="33" spans="2:20" s="121" customFormat="1" ht="16.5" customHeight="1" x14ac:dyDescent="0.2">
      <c r="B33" s="120"/>
      <c r="C33" s="56" t="s">
        <v>154</v>
      </c>
      <c r="D33" s="56" t="s">
        <v>96</v>
      </c>
      <c r="E33" s="57" t="s">
        <v>193</v>
      </c>
      <c r="F33" s="58" t="s">
        <v>194</v>
      </c>
      <c r="G33" s="59" t="s">
        <v>150</v>
      </c>
      <c r="H33" s="60">
        <v>11.74</v>
      </c>
      <c r="I33" s="61">
        <v>44.72</v>
      </c>
      <c r="J33" s="60">
        <v>525</v>
      </c>
      <c r="K33" s="68">
        <f t="shared" si="0"/>
        <v>-1.23</v>
      </c>
      <c r="L33" s="69">
        <f t="shared" si="1"/>
        <v>44.72</v>
      </c>
      <c r="M33" s="273">
        <f t="shared" si="2"/>
        <v>-55.005600000000001</v>
      </c>
      <c r="N33" s="71">
        <f t="shared" si="3"/>
        <v>10.51</v>
      </c>
      <c r="O33" s="72">
        <f t="shared" si="4"/>
        <v>44.72</v>
      </c>
      <c r="P33" s="274">
        <f t="shared" si="5"/>
        <v>470.00719999999995</v>
      </c>
      <c r="Q33" s="121">
        <f t="shared" si="6"/>
        <v>13.19</v>
      </c>
      <c r="S33" s="194"/>
    </row>
    <row r="34" spans="2:20" s="121" customFormat="1" ht="16.5" customHeight="1" x14ac:dyDescent="0.2">
      <c r="B34" s="120"/>
      <c r="C34" s="56" t="s">
        <v>1</v>
      </c>
      <c r="D34" s="56" t="s">
        <v>96</v>
      </c>
      <c r="E34" s="57" t="s">
        <v>196</v>
      </c>
      <c r="F34" s="58" t="s">
        <v>197</v>
      </c>
      <c r="G34" s="59" t="s">
        <v>150</v>
      </c>
      <c r="H34" s="60">
        <v>11.74</v>
      </c>
      <c r="I34" s="61">
        <v>11.84</v>
      </c>
      <c r="J34" s="60">
        <v>139</v>
      </c>
      <c r="K34" s="68">
        <f t="shared" si="0"/>
        <v>-1.23</v>
      </c>
      <c r="L34" s="69">
        <f t="shared" si="1"/>
        <v>11.84</v>
      </c>
      <c r="M34" s="273">
        <f t="shared" si="2"/>
        <v>-14.5632</v>
      </c>
      <c r="N34" s="71">
        <f t="shared" si="3"/>
        <v>10.51</v>
      </c>
      <c r="O34" s="72">
        <f t="shared" si="4"/>
        <v>11.84</v>
      </c>
      <c r="P34" s="274">
        <f t="shared" si="5"/>
        <v>124.4384</v>
      </c>
      <c r="Q34" s="121">
        <f t="shared" si="6"/>
        <v>13.19</v>
      </c>
      <c r="S34" s="194"/>
    </row>
    <row r="35" spans="2:20" s="121" customFormat="1" ht="16.5" customHeight="1" x14ac:dyDescent="0.2">
      <c r="B35" s="120"/>
      <c r="C35" s="56" t="s">
        <v>159</v>
      </c>
      <c r="D35" s="56" t="s">
        <v>96</v>
      </c>
      <c r="E35" s="57" t="s">
        <v>199</v>
      </c>
      <c r="F35" s="58" t="s">
        <v>200</v>
      </c>
      <c r="G35" s="59" t="s">
        <v>201</v>
      </c>
      <c r="H35" s="60">
        <v>23.48</v>
      </c>
      <c r="I35" s="61">
        <v>116</v>
      </c>
      <c r="J35" s="60">
        <v>2723.7</v>
      </c>
      <c r="K35" s="68">
        <f t="shared" si="0"/>
        <v>-2.46</v>
      </c>
      <c r="L35" s="69">
        <f t="shared" si="1"/>
        <v>116</v>
      </c>
      <c r="M35" s="273">
        <f t="shared" si="2"/>
        <v>-285.36</v>
      </c>
      <c r="N35" s="71">
        <f t="shared" si="3"/>
        <v>21.02</v>
      </c>
      <c r="O35" s="72">
        <f t="shared" si="4"/>
        <v>116</v>
      </c>
      <c r="P35" s="274">
        <f t="shared" si="5"/>
        <v>2438.3200000000002</v>
      </c>
      <c r="Q35" s="121">
        <f t="shared" si="6"/>
        <v>26.39</v>
      </c>
      <c r="S35" s="194"/>
    </row>
    <row r="36" spans="2:20" s="121" customFormat="1" ht="16.5" customHeight="1" x14ac:dyDescent="0.2">
      <c r="B36" s="120"/>
      <c r="C36" s="56" t="s">
        <v>162</v>
      </c>
      <c r="D36" s="56" t="s">
        <v>96</v>
      </c>
      <c r="E36" s="57" t="s">
        <v>203</v>
      </c>
      <c r="F36" s="58" t="s">
        <v>204</v>
      </c>
      <c r="G36" s="59" t="s">
        <v>150</v>
      </c>
      <c r="H36" s="60">
        <v>22.06</v>
      </c>
      <c r="I36" s="61">
        <v>143.36000000000001</v>
      </c>
      <c r="J36" s="60">
        <v>3162.5</v>
      </c>
      <c r="K36" s="68">
        <f t="shared" si="0"/>
        <v>-2.31</v>
      </c>
      <c r="L36" s="69">
        <f t="shared" si="1"/>
        <v>143.36000000000001</v>
      </c>
      <c r="M36" s="273">
        <f t="shared" si="2"/>
        <v>-331.16160000000002</v>
      </c>
      <c r="N36" s="71">
        <f t="shared" si="3"/>
        <v>19.75</v>
      </c>
      <c r="O36" s="72">
        <f t="shared" si="4"/>
        <v>143.36000000000001</v>
      </c>
      <c r="P36" s="274">
        <f t="shared" si="5"/>
        <v>2831.36</v>
      </c>
      <c r="Q36" s="121">
        <f t="shared" si="6"/>
        <v>24.79</v>
      </c>
      <c r="S36" s="194"/>
    </row>
    <row r="37" spans="2:20" s="121" customFormat="1" ht="16.5" customHeight="1" x14ac:dyDescent="0.2">
      <c r="B37" s="120"/>
      <c r="C37" s="56" t="s">
        <v>165</v>
      </c>
      <c r="D37" s="56" t="s">
        <v>96</v>
      </c>
      <c r="E37" s="57" t="s">
        <v>206</v>
      </c>
      <c r="F37" s="58" t="s">
        <v>207</v>
      </c>
      <c r="G37" s="59" t="s">
        <v>150</v>
      </c>
      <c r="H37" s="60">
        <v>6.41</v>
      </c>
      <c r="I37" s="61">
        <v>318.27999999999997</v>
      </c>
      <c r="J37" s="60">
        <v>2040.2</v>
      </c>
      <c r="K37" s="68">
        <f t="shared" si="0"/>
        <v>-0.67</v>
      </c>
      <c r="L37" s="69">
        <f t="shared" si="1"/>
        <v>318.27999999999997</v>
      </c>
      <c r="M37" s="273">
        <f t="shared" si="2"/>
        <v>-213.24760000000001</v>
      </c>
      <c r="N37" s="71">
        <f t="shared" si="3"/>
        <v>5.74</v>
      </c>
      <c r="O37" s="72">
        <f t="shared" si="4"/>
        <v>318.27999999999997</v>
      </c>
      <c r="P37" s="274">
        <f t="shared" si="5"/>
        <v>1826.9271999999999</v>
      </c>
      <c r="Q37" s="121">
        <f t="shared" si="6"/>
        <v>7.2</v>
      </c>
      <c r="S37" s="194"/>
    </row>
    <row r="38" spans="2:20" s="121" customFormat="1" ht="16.5" customHeight="1" x14ac:dyDescent="0.2">
      <c r="B38" s="120"/>
      <c r="C38" s="73" t="s">
        <v>168</v>
      </c>
      <c r="D38" s="73" t="s">
        <v>209</v>
      </c>
      <c r="E38" s="74" t="s">
        <v>210</v>
      </c>
      <c r="F38" s="75" t="s">
        <v>211</v>
      </c>
      <c r="G38" s="76" t="s">
        <v>201</v>
      </c>
      <c r="H38" s="77">
        <v>12.82</v>
      </c>
      <c r="I38" s="78">
        <v>172.71</v>
      </c>
      <c r="J38" s="77">
        <v>2214.1</v>
      </c>
      <c r="K38" s="68">
        <f t="shared" si="0"/>
        <v>-1.34</v>
      </c>
      <c r="L38" s="69">
        <f t="shared" si="1"/>
        <v>172.71</v>
      </c>
      <c r="M38" s="273">
        <f t="shared" si="2"/>
        <v>-231.43140000000002</v>
      </c>
      <c r="N38" s="71">
        <f t="shared" si="3"/>
        <v>11.48</v>
      </c>
      <c r="O38" s="72">
        <f t="shared" si="4"/>
        <v>172.71</v>
      </c>
      <c r="P38" s="274">
        <f t="shared" si="5"/>
        <v>1982.7108000000001</v>
      </c>
      <c r="Q38" s="121">
        <f t="shared" si="6"/>
        <v>14.41</v>
      </c>
      <c r="S38" s="194"/>
    </row>
    <row r="39" spans="2:20" s="121" customFormat="1" ht="16.5" customHeight="1" x14ac:dyDescent="0.2">
      <c r="B39" s="120"/>
      <c r="C39" s="56" t="s">
        <v>171</v>
      </c>
      <c r="D39" s="56" t="s">
        <v>96</v>
      </c>
      <c r="E39" s="57" t="s">
        <v>213</v>
      </c>
      <c r="F39" s="58" t="s">
        <v>214</v>
      </c>
      <c r="G39" s="59" t="s">
        <v>108</v>
      </c>
      <c r="H39" s="60">
        <v>4.09</v>
      </c>
      <c r="I39" s="61">
        <v>53.92</v>
      </c>
      <c r="J39" s="60">
        <v>220.5</v>
      </c>
      <c r="K39" s="68">
        <f t="shared" si="0"/>
        <v>-0.43</v>
      </c>
      <c r="L39" s="69">
        <f t="shared" si="1"/>
        <v>53.92</v>
      </c>
      <c r="M39" s="273">
        <f t="shared" si="2"/>
        <v>-23.185600000000001</v>
      </c>
      <c r="N39" s="71">
        <f t="shared" si="3"/>
        <v>3.6599999999999997</v>
      </c>
      <c r="O39" s="72">
        <f t="shared" si="4"/>
        <v>53.92</v>
      </c>
      <c r="P39" s="274">
        <f t="shared" si="5"/>
        <v>197.34719999999999</v>
      </c>
      <c r="Q39" s="121">
        <f t="shared" si="6"/>
        <v>4.5999999999999996</v>
      </c>
      <c r="S39" s="194"/>
    </row>
    <row r="40" spans="2:20" s="170" customFormat="1" ht="22.9" customHeight="1" x14ac:dyDescent="0.2">
      <c r="B40" s="165"/>
      <c r="C40" s="252"/>
      <c r="D40" s="253" t="s">
        <v>4</v>
      </c>
      <c r="E40" s="254" t="s">
        <v>13</v>
      </c>
      <c r="F40" s="254" t="s">
        <v>222</v>
      </c>
      <c r="G40" s="252"/>
      <c r="H40" s="252"/>
      <c r="I40" s="255"/>
      <c r="J40" s="256">
        <f>+SUBTOTAL(9,J41:J42)</f>
        <v>414.29999999999995</v>
      </c>
      <c r="K40" s="261"/>
      <c r="L40" s="262"/>
      <c r="M40" s="279">
        <f>SUM(M41:M42)</f>
        <v>-43.406000000000006</v>
      </c>
      <c r="N40" s="280"/>
      <c r="O40" s="262"/>
      <c r="P40" s="279">
        <f>SUM(P41:P42)</f>
        <v>370.92400000000009</v>
      </c>
      <c r="Q40" s="121">
        <f t="shared" si="6"/>
        <v>0</v>
      </c>
      <c r="R40" s="121"/>
      <c r="S40" s="194"/>
    </row>
    <row r="41" spans="2:20" s="121" customFormat="1" ht="16.5" customHeight="1" x14ac:dyDescent="0.2">
      <c r="B41" s="120"/>
      <c r="C41" s="56" t="s">
        <v>174</v>
      </c>
      <c r="D41" s="56" t="s">
        <v>96</v>
      </c>
      <c r="E41" s="57" t="s">
        <v>224</v>
      </c>
      <c r="F41" s="58" t="s">
        <v>225</v>
      </c>
      <c r="G41" s="59" t="s">
        <v>133</v>
      </c>
      <c r="H41" s="60">
        <v>10.5</v>
      </c>
      <c r="I41" s="61">
        <v>32.880000000000003</v>
      </c>
      <c r="J41" s="60">
        <v>345.2</v>
      </c>
      <c r="K41" s="68">
        <f t="shared" si="0"/>
        <v>-1.1000000000000001</v>
      </c>
      <c r="L41" s="69">
        <f t="shared" si="1"/>
        <v>32.880000000000003</v>
      </c>
      <c r="M41" s="273">
        <f t="shared" si="2"/>
        <v>-36.168000000000006</v>
      </c>
      <c r="N41" s="71">
        <f t="shared" si="3"/>
        <v>9.4</v>
      </c>
      <c r="O41" s="72">
        <f t="shared" si="4"/>
        <v>32.880000000000003</v>
      </c>
      <c r="P41" s="274">
        <f t="shared" si="5"/>
        <v>309.07200000000006</v>
      </c>
      <c r="Q41" s="121">
        <f t="shared" si="6"/>
        <v>11.8</v>
      </c>
      <c r="S41" s="194"/>
    </row>
    <row r="42" spans="2:20" s="121" customFormat="1" ht="16.5" customHeight="1" x14ac:dyDescent="0.2">
      <c r="B42" s="120"/>
      <c r="C42" s="56" t="s">
        <v>177</v>
      </c>
      <c r="D42" s="56" t="s">
        <v>96</v>
      </c>
      <c r="E42" s="57" t="s">
        <v>227</v>
      </c>
      <c r="F42" s="58" t="s">
        <v>228</v>
      </c>
      <c r="G42" s="59" t="s">
        <v>133</v>
      </c>
      <c r="H42" s="60">
        <v>10.5</v>
      </c>
      <c r="I42" s="61">
        <v>6.58</v>
      </c>
      <c r="J42" s="60">
        <v>69.099999999999994</v>
      </c>
      <c r="K42" s="68">
        <f t="shared" si="0"/>
        <v>-1.1000000000000001</v>
      </c>
      <c r="L42" s="69">
        <f t="shared" si="1"/>
        <v>6.58</v>
      </c>
      <c r="M42" s="273">
        <f t="shared" si="2"/>
        <v>-7.2380000000000004</v>
      </c>
      <c r="N42" s="71">
        <f t="shared" si="3"/>
        <v>9.4</v>
      </c>
      <c r="O42" s="72">
        <f t="shared" si="4"/>
        <v>6.58</v>
      </c>
      <c r="P42" s="274">
        <f t="shared" si="5"/>
        <v>61.852000000000004</v>
      </c>
      <c r="Q42" s="121">
        <f t="shared" si="6"/>
        <v>11.8</v>
      </c>
      <c r="S42" s="194"/>
    </row>
    <row r="43" spans="2:20" s="170" customFormat="1" ht="22.9" customHeight="1" x14ac:dyDescent="0.2">
      <c r="B43" s="165"/>
      <c r="C43" s="252"/>
      <c r="D43" s="253" t="s">
        <v>4</v>
      </c>
      <c r="E43" s="254" t="s">
        <v>100</v>
      </c>
      <c r="F43" s="254" t="s">
        <v>229</v>
      </c>
      <c r="G43" s="252"/>
      <c r="H43" s="252"/>
      <c r="I43" s="255"/>
      <c r="J43" s="256">
        <f>+SUBTOTAL(9,J44:J45)</f>
        <v>6828.5</v>
      </c>
      <c r="K43" s="261"/>
      <c r="L43" s="262"/>
      <c r="M43" s="279">
        <f>SUM(M44:M45)</f>
        <v>-712.10489999999993</v>
      </c>
      <c r="N43" s="280"/>
      <c r="O43" s="262"/>
      <c r="P43" s="279">
        <f>SUM(P44:P45)</f>
        <v>6116.3990999999996</v>
      </c>
      <c r="Q43" s="121">
        <f t="shared" si="6"/>
        <v>0</v>
      </c>
      <c r="R43" s="121"/>
      <c r="S43" s="194"/>
    </row>
    <row r="44" spans="2:20" s="121" customFormat="1" ht="16.5" customHeight="1" x14ac:dyDescent="0.2">
      <c r="B44" s="120"/>
      <c r="C44" s="56" t="s">
        <v>180</v>
      </c>
      <c r="D44" s="56" t="s">
        <v>96</v>
      </c>
      <c r="E44" s="57" t="s">
        <v>252</v>
      </c>
      <c r="F44" s="58" t="s">
        <v>253</v>
      </c>
      <c r="G44" s="59" t="s">
        <v>150</v>
      </c>
      <c r="H44" s="60">
        <v>1.99</v>
      </c>
      <c r="I44" s="61">
        <v>3239.16</v>
      </c>
      <c r="J44" s="60">
        <v>6445.9</v>
      </c>
      <c r="K44" s="68">
        <f t="shared" si="0"/>
        <v>-0.21</v>
      </c>
      <c r="L44" s="69">
        <f t="shared" si="1"/>
        <v>3239.16</v>
      </c>
      <c r="M44" s="273">
        <f t="shared" si="2"/>
        <v>-680.22359999999992</v>
      </c>
      <c r="N44" s="71">
        <f t="shared" si="3"/>
        <v>1.78</v>
      </c>
      <c r="O44" s="72">
        <f t="shared" si="4"/>
        <v>3239.16</v>
      </c>
      <c r="P44" s="274">
        <f t="shared" si="5"/>
        <v>5765.7047999999995</v>
      </c>
      <c r="Q44" s="121">
        <f t="shared" si="6"/>
        <v>2.2400000000000002</v>
      </c>
      <c r="S44" s="194"/>
    </row>
    <row r="45" spans="2:20" s="121" customFormat="1" ht="16.5" customHeight="1" x14ac:dyDescent="0.2">
      <c r="B45" s="120"/>
      <c r="C45" s="56" t="s">
        <v>183</v>
      </c>
      <c r="D45" s="56" t="s">
        <v>96</v>
      </c>
      <c r="E45" s="57" t="s">
        <v>255</v>
      </c>
      <c r="F45" s="58" t="s">
        <v>256</v>
      </c>
      <c r="G45" s="59" t="s">
        <v>150</v>
      </c>
      <c r="H45" s="60">
        <v>0.12</v>
      </c>
      <c r="I45" s="61">
        <v>3188.13</v>
      </c>
      <c r="J45" s="60">
        <v>382.6</v>
      </c>
      <c r="K45" s="68">
        <f t="shared" si="0"/>
        <v>-0.01</v>
      </c>
      <c r="L45" s="69">
        <f t="shared" si="1"/>
        <v>3188.13</v>
      </c>
      <c r="M45" s="273">
        <f t="shared" si="2"/>
        <v>-31.881300000000003</v>
      </c>
      <c r="N45" s="71">
        <f t="shared" si="3"/>
        <v>0.11</v>
      </c>
      <c r="O45" s="72">
        <f t="shared" si="4"/>
        <v>3188.13</v>
      </c>
      <c r="P45" s="274">
        <f t="shared" si="5"/>
        <v>350.6943</v>
      </c>
      <c r="Q45" s="121">
        <f t="shared" si="6"/>
        <v>0.13</v>
      </c>
      <c r="R45" s="186" t="s">
        <v>1151</v>
      </c>
      <c r="S45" s="194" t="s">
        <v>931</v>
      </c>
    </row>
    <row r="46" spans="2:20" s="170" customFormat="1" ht="22.9" customHeight="1" x14ac:dyDescent="0.2">
      <c r="B46" s="165"/>
      <c r="C46" s="252"/>
      <c r="D46" s="253" t="s">
        <v>4</v>
      </c>
      <c r="E46" s="254" t="s">
        <v>105</v>
      </c>
      <c r="F46" s="254" t="s">
        <v>257</v>
      </c>
      <c r="G46" s="252"/>
      <c r="H46" s="252"/>
      <c r="I46" s="255"/>
      <c r="J46" s="256">
        <f>+SUBTOTAL(9,J47:J54)</f>
        <v>14625.4</v>
      </c>
      <c r="K46" s="261"/>
      <c r="L46" s="262"/>
      <c r="M46" s="279">
        <f>SUM(M47:M54)</f>
        <v>0</v>
      </c>
      <c r="N46" s="280"/>
      <c r="O46" s="262"/>
      <c r="P46" s="279">
        <f>SUM(P47:P54)</f>
        <v>14625.289999999999</v>
      </c>
      <c r="Q46" s="121">
        <f t="shared" si="6"/>
        <v>0</v>
      </c>
      <c r="R46" s="121"/>
      <c r="S46" s="194"/>
    </row>
    <row r="47" spans="2:20" s="121" customFormat="1" ht="16.5" customHeight="1" x14ac:dyDescent="0.2">
      <c r="B47" s="120"/>
      <c r="C47" s="56" t="s">
        <v>186</v>
      </c>
      <c r="D47" s="56" t="s">
        <v>96</v>
      </c>
      <c r="E47" s="57" t="s">
        <v>259</v>
      </c>
      <c r="F47" s="58" t="s">
        <v>260</v>
      </c>
      <c r="G47" s="59" t="s">
        <v>108</v>
      </c>
      <c r="H47" s="60">
        <v>4.95</v>
      </c>
      <c r="I47" s="61">
        <v>155.66999999999999</v>
      </c>
      <c r="J47" s="60">
        <v>770.6</v>
      </c>
      <c r="K47" s="68">
        <v>0</v>
      </c>
      <c r="L47" s="69">
        <f t="shared" si="1"/>
        <v>155.66999999999999</v>
      </c>
      <c r="M47" s="273">
        <f t="shared" si="2"/>
        <v>0</v>
      </c>
      <c r="N47" s="71">
        <f t="shared" si="3"/>
        <v>4.95</v>
      </c>
      <c r="O47" s="72">
        <f t="shared" si="4"/>
        <v>155.66999999999999</v>
      </c>
      <c r="P47" s="274">
        <f t="shared" si="5"/>
        <v>770.56650000000002</v>
      </c>
      <c r="Q47" s="121">
        <f t="shared" si="6"/>
        <v>5.56</v>
      </c>
      <c r="R47" s="348" t="s">
        <v>916</v>
      </c>
      <c r="S47" s="332" t="s">
        <v>1158</v>
      </c>
      <c r="T47" s="336"/>
    </row>
    <row r="48" spans="2:20" s="121" customFormat="1" ht="16.5" customHeight="1" x14ac:dyDescent="0.2">
      <c r="B48" s="120"/>
      <c r="C48" s="56" t="s">
        <v>189</v>
      </c>
      <c r="D48" s="56" t="s">
        <v>96</v>
      </c>
      <c r="E48" s="57" t="s">
        <v>262</v>
      </c>
      <c r="F48" s="58" t="s">
        <v>263</v>
      </c>
      <c r="G48" s="59" t="s">
        <v>108</v>
      </c>
      <c r="H48" s="60">
        <v>3.85</v>
      </c>
      <c r="I48" s="61">
        <v>302.54000000000002</v>
      </c>
      <c r="J48" s="60">
        <v>1164.8</v>
      </c>
      <c r="K48" s="68">
        <v>0</v>
      </c>
      <c r="L48" s="69">
        <f t="shared" si="1"/>
        <v>302.54000000000002</v>
      </c>
      <c r="M48" s="273">
        <f t="shared" si="2"/>
        <v>0</v>
      </c>
      <c r="N48" s="71">
        <f t="shared" si="3"/>
        <v>3.85</v>
      </c>
      <c r="O48" s="72">
        <f t="shared" si="4"/>
        <v>302.54000000000002</v>
      </c>
      <c r="P48" s="274">
        <f t="shared" si="5"/>
        <v>1164.779</v>
      </c>
      <c r="Q48" s="121">
        <f t="shared" si="6"/>
        <v>4.33</v>
      </c>
      <c r="R48" s="348"/>
      <c r="S48" s="332"/>
      <c r="T48" s="336"/>
    </row>
    <row r="49" spans="2:19" s="121" customFormat="1" ht="16.5" customHeight="1" x14ac:dyDescent="0.2">
      <c r="B49" s="120"/>
      <c r="C49" s="56" t="s">
        <v>192</v>
      </c>
      <c r="D49" s="56" t="s">
        <v>96</v>
      </c>
      <c r="E49" s="57" t="s">
        <v>268</v>
      </c>
      <c r="F49" s="58" t="s">
        <v>269</v>
      </c>
      <c r="G49" s="59" t="s">
        <v>108</v>
      </c>
      <c r="H49" s="60">
        <v>3.85</v>
      </c>
      <c r="I49" s="61">
        <v>14.18</v>
      </c>
      <c r="J49" s="60">
        <v>54.6</v>
      </c>
      <c r="K49" s="68">
        <v>0</v>
      </c>
      <c r="L49" s="69">
        <f t="shared" si="1"/>
        <v>14.18</v>
      </c>
      <c r="M49" s="273">
        <f t="shared" si="2"/>
        <v>0</v>
      </c>
      <c r="N49" s="71">
        <f t="shared" si="3"/>
        <v>3.85</v>
      </c>
      <c r="O49" s="72">
        <f t="shared" si="4"/>
        <v>14.18</v>
      </c>
      <c r="P49" s="274">
        <f t="shared" si="5"/>
        <v>54.593000000000004</v>
      </c>
      <c r="Q49" s="121">
        <f t="shared" si="6"/>
        <v>4.33</v>
      </c>
      <c r="S49" s="194"/>
    </row>
    <row r="50" spans="2:19" s="121" customFormat="1" ht="16.5" customHeight="1" x14ac:dyDescent="0.2">
      <c r="B50" s="120"/>
      <c r="C50" s="56" t="s">
        <v>195</v>
      </c>
      <c r="D50" s="56" t="s">
        <v>96</v>
      </c>
      <c r="E50" s="57" t="s">
        <v>271</v>
      </c>
      <c r="F50" s="58" t="s">
        <v>272</v>
      </c>
      <c r="G50" s="59" t="s">
        <v>108</v>
      </c>
      <c r="H50" s="60">
        <v>7.35</v>
      </c>
      <c r="I50" s="61">
        <v>20.62</v>
      </c>
      <c r="J50" s="60">
        <v>151.6</v>
      </c>
      <c r="K50" s="68">
        <v>0</v>
      </c>
      <c r="L50" s="69">
        <f t="shared" si="1"/>
        <v>20.62</v>
      </c>
      <c r="M50" s="273">
        <f t="shared" si="2"/>
        <v>0</v>
      </c>
      <c r="N50" s="71">
        <f t="shared" si="3"/>
        <v>7.35</v>
      </c>
      <c r="O50" s="72">
        <f t="shared" si="4"/>
        <v>20.62</v>
      </c>
      <c r="P50" s="274">
        <f t="shared" si="5"/>
        <v>151.55699999999999</v>
      </c>
      <c r="Q50" s="121">
        <f t="shared" si="6"/>
        <v>8.26</v>
      </c>
      <c r="S50" s="194"/>
    </row>
    <row r="51" spans="2:19" s="121" customFormat="1" ht="16.5" customHeight="1" x14ac:dyDescent="0.2">
      <c r="B51" s="120"/>
      <c r="C51" s="56" t="s">
        <v>198</v>
      </c>
      <c r="D51" s="56" t="s">
        <v>96</v>
      </c>
      <c r="E51" s="57" t="s">
        <v>274</v>
      </c>
      <c r="F51" s="58" t="s">
        <v>275</v>
      </c>
      <c r="G51" s="59" t="s">
        <v>108</v>
      </c>
      <c r="H51" s="60">
        <v>7.35</v>
      </c>
      <c r="I51" s="61">
        <v>396.71</v>
      </c>
      <c r="J51" s="60">
        <v>2915.8</v>
      </c>
      <c r="K51" s="68">
        <v>0</v>
      </c>
      <c r="L51" s="69">
        <f t="shared" si="1"/>
        <v>396.71</v>
      </c>
      <c r="M51" s="273">
        <f t="shared" si="2"/>
        <v>0</v>
      </c>
      <c r="N51" s="71">
        <f t="shared" si="3"/>
        <v>7.35</v>
      </c>
      <c r="O51" s="72">
        <f t="shared" si="4"/>
        <v>396.71</v>
      </c>
      <c r="P51" s="274">
        <f t="shared" si="5"/>
        <v>2915.8184999999999</v>
      </c>
      <c r="Q51" s="121">
        <f t="shared" si="6"/>
        <v>8.26</v>
      </c>
      <c r="S51" s="194"/>
    </row>
    <row r="52" spans="2:19" s="121" customFormat="1" ht="16.5" customHeight="1" x14ac:dyDescent="0.2">
      <c r="B52" s="120"/>
      <c r="C52" s="56" t="s">
        <v>202</v>
      </c>
      <c r="D52" s="56" t="s">
        <v>96</v>
      </c>
      <c r="E52" s="57" t="s">
        <v>277</v>
      </c>
      <c r="F52" s="58" t="s">
        <v>278</v>
      </c>
      <c r="G52" s="59" t="s">
        <v>108</v>
      </c>
      <c r="H52" s="60">
        <v>3.85</v>
      </c>
      <c r="I52" s="61">
        <v>559.51</v>
      </c>
      <c r="J52" s="60">
        <v>2154.1</v>
      </c>
      <c r="K52" s="68">
        <v>0</v>
      </c>
      <c r="L52" s="69">
        <f t="shared" si="1"/>
        <v>559.51</v>
      </c>
      <c r="M52" s="273">
        <f t="shared" si="2"/>
        <v>0</v>
      </c>
      <c r="N52" s="71">
        <f t="shared" si="3"/>
        <v>3.85</v>
      </c>
      <c r="O52" s="72">
        <f t="shared" si="4"/>
        <v>559.51</v>
      </c>
      <c r="P52" s="274">
        <f t="shared" si="5"/>
        <v>2154.1134999999999</v>
      </c>
      <c r="Q52" s="121">
        <f t="shared" si="6"/>
        <v>4.33</v>
      </c>
      <c r="S52" s="194"/>
    </row>
    <row r="53" spans="2:19" s="121" customFormat="1" ht="16.5" customHeight="1" x14ac:dyDescent="0.2">
      <c r="B53" s="120"/>
      <c r="C53" s="56" t="s">
        <v>205</v>
      </c>
      <c r="D53" s="56" t="s">
        <v>96</v>
      </c>
      <c r="E53" s="57" t="s">
        <v>283</v>
      </c>
      <c r="F53" s="58" t="s">
        <v>284</v>
      </c>
      <c r="G53" s="59" t="s">
        <v>108</v>
      </c>
      <c r="H53" s="60">
        <v>4.95</v>
      </c>
      <c r="I53" s="61">
        <v>745.05</v>
      </c>
      <c r="J53" s="60">
        <v>3688</v>
      </c>
      <c r="K53" s="68">
        <v>0</v>
      </c>
      <c r="L53" s="69">
        <f t="shared" si="1"/>
        <v>745.05</v>
      </c>
      <c r="M53" s="273">
        <f t="shared" si="2"/>
        <v>0</v>
      </c>
      <c r="N53" s="71">
        <f t="shared" si="3"/>
        <v>4.95</v>
      </c>
      <c r="O53" s="72">
        <f t="shared" si="4"/>
        <v>745.05</v>
      </c>
      <c r="P53" s="274">
        <f t="shared" si="5"/>
        <v>3687.9974999999999</v>
      </c>
      <c r="Q53" s="121">
        <f t="shared" si="6"/>
        <v>5.56</v>
      </c>
      <c r="S53" s="194"/>
    </row>
    <row r="54" spans="2:19" s="121" customFormat="1" ht="16.5" customHeight="1" x14ac:dyDescent="0.2">
      <c r="B54" s="120"/>
      <c r="C54" s="73" t="s">
        <v>208</v>
      </c>
      <c r="D54" s="73" t="s">
        <v>209</v>
      </c>
      <c r="E54" s="74" t="s">
        <v>286</v>
      </c>
      <c r="F54" s="75" t="s">
        <v>287</v>
      </c>
      <c r="G54" s="76" t="s">
        <v>201</v>
      </c>
      <c r="H54" s="77">
        <v>0.99</v>
      </c>
      <c r="I54" s="78">
        <v>3763.5</v>
      </c>
      <c r="J54" s="77">
        <v>3725.9</v>
      </c>
      <c r="K54" s="68">
        <v>0</v>
      </c>
      <c r="L54" s="69">
        <f t="shared" si="1"/>
        <v>3763.5</v>
      </c>
      <c r="M54" s="273">
        <f t="shared" si="2"/>
        <v>0</v>
      </c>
      <c r="N54" s="71">
        <f t="shared" si="3"/>
        <v>0.99</v>
      </c>
      <c r="O54" s="72">
        <f t="shared" si="4"/>
        <v>3763.5</v>
      </c>
      <c r="P54" s="274">
        <f t="shared" si="5"/>
        <v>3725.8649999999998</v>
      </c>
      <c r="Q54" s="121">
        <f t="shared" si="6"/>
        <v>1.1100000000000001</v>
      </c>
      <c r="S54" s="194"/>
    </row>
    <row r="55" spans="2:19" s="170" customFormat="1" ht="22.9" customHeight="1" x14ac:dyDescent="0.2">
      <c r="B55" s="165"/>
      <c r="C55" s="252"/>
      <c r="D55" s="253" t="s">
        <v>4</v>
      </c>
      <c r="E55" s="254" t="s">
        <v>115</v>
      </c>
      <c r="F55" s="254" t="s">
        <v>288</v>
      </c>
      <c r="G55" s="252"/>
      <c r="H55" s="252"/>
      <c r="I55" s="255"/>
      <c r="J55" s="256">
        <f>+SUBTOTAL(9,J56:J72)</f>
        <v>51116.000000000007</v>
      </c>
      <c r="K55" s="261"/>
      <c r="L55" s="262"/>
      <c r="M55" s="279">
        <f>SUM(M56:M72)</f>
        <v>-1845.4700000000003</v>
      </c>
      <c r="N55" s="280"/>
      <c r="O55" s="262"/>
      <c r="P55" s="279">
        <f>SUM(P56:P72)</f>
        <v>49270.565399999999</v>
      </c>
      <c r="Q55" s="121">
        <f t="shared" si="6"/>
        <v>0</v>
      </c>
      <c r="R55" s="121"/>
      <c r="S55" s="194"/>
    </row>
    <row r="56" spans="2:19" s="121" customFormat="1" ht="16.5" customHeight="1" x14ac:dyDescent="0.2">
      <c r="B56" s="120"/>
      <c r="C56" s="56" t="s">
        <v>212</v>
      </c>
      <c r="D56" s="56" t="s">
        <v>96</v>
      </c>
      <c r="E56" s="57" t="s">
        <v>296</v>
      </c>
      <c r="F56" s="58" t="s">
        <v>297</v>
      </c>
      <c r="G56" s="59" t="s">
        <v>133</v>
      </c>
      <c r="H56" s="60">
        <v>10.5</v>
      </c>
      <c r="I56" s="61">
        <v>552.39</v>
      </c>
      <c r="J56" s="60">
        <v>5800.1</v>
      </c>
      <c r="K56" s="68">
        <f t="shared" ref="K56:K57" si="7">ROUND(10.7/11.8*Q56-Q56,2)</f>
        <v>-1.1000000000000001</v>
      </c>
      <c r="L56" s="69">
        <f t="shared" si="1"/>
        <v>552.39</v>
      </c>
      <c r="M56" s="273">
        <f t="shared" si="2"/>
        <v>-607.62900000000002</v>
      </c>
      <c r="N56" s="71">
        <f t="shared" si="3"/>
        <v>9.4</v>
      </c>
      <c r="O56" s="72">
        <f t="shared" si="4"/>
        <v>552.39</v>
      </c>
      <c r="P56" s="274">
        <f t="shared" si="5"/>
        <v>5192.4660000000003</v>
      </c>
      <c r="Q56" s="121">
        <f t="shared" si="6"/>
        <v>11.8</v>
      </c>
      <c r="S56" s="194"/>
    </row>
    <row r="57" spans="2:19" s="121" customFormat="1" ht="16.5" customHeight="1" x14ac:dyDescent="0.2">
      <c r="B57" s="120"/>
      <c r="C57" s="73" t="s">
        <v>215</v>
      </c>
      <c r="D57" s="73" t="s">
        <v>209</v>
      </c>
      <c r="E57" s="74" t="s">
        <v>299</v>
      </c>
      <c r="F57" s="75" t="s">
        <v>300</v>
      </c>
      <c r="G57" s="76" t="s">
        <v>133</v>
      </c>
      <c r="H57" s="77">
        <v>10.5</v>
      </c>
      <c r="I57" s="78">
        <v>1060.07</v>
      </c>
      <c r="J57" s="77">
        <v>11130.7</v>
      </c>
      <c r="K57" s="68">
        <f t="shared" si="7"/>
        <v>-1.1000000000000001</v>
      </c>
      <c r="L57" s="69">
        <f t="shared" si="1"/>
        <v>1060.07</v>
      </c>
      <c r="M57" s="273">
        <f t="shared" si="2"/>
        <v>-1166.077</v>
      </c>
      <c r="N57" s="71">
        <f t="shared" si="3"/>
        <v>9.4</v>
      </c>
      <c r="O57" s="72">
        <f t="shared" si="4"/>
        <v>1060.07</v>
      </c>
      <c r="P57" s="274">
        <f t="shared" si="5"/>
        <v>9964.6579999999994</v>
      </c>
      <c r="Q57" s="121">
        <f t="shared" si="6"/>
        <v>11.8</v>
      </c>
      <c r="S57" s="194"/>
    </row>
    <row r="58" spans="2:19" s="121" customFormat="1" ht="16.5" customHeight="1" x14ac:dyDescent="0.2">
      <c r="B58" s="120"/>
      <c r="C58" s="73" t="s">
        <v>219</v>
      </c>
      <c r="D58" s="73" t="s">
        <v>209</v>
      </c>
      <c r="E58" s="74" t="s">
        <v>302</v>
      </c>
      <c r="F58" s="75" t="s">
        <v>303</v>
      </c>
      <c r="G58" s="76" t="s">
        <v>99</v>
      </c>
      <c r="H58" s="77">
        <v>1</v>
      </c>
      <c r="I58" s="78">
        <v>739.15</v>
      </c>
      <c r="J58" s="77">
        <v>739.2</v>
      </c>
      <c r="K58" s="68">
        <v>0</v>
      </c>
      <c r="L58" s="69">
        <f t="shared" si="1"/>
        <v>739.15</v>
      </c>
      <c r="M58" s="273">
        <f t="shared" si="2"/>
        <v>0</v>
      </c>
      <c r="N58" s="71">
        <f t="shared" si="3"/>
        <v>1</v>
      </c>
      <c r="O58" s="72">
        <f t="shared" si="4"/>
        <v>739.15</v>
      </c>
      <c r="P58" s="274">
        <f t="shared" si="5"/>
        <v>739.15</v>
      </c>
      <c r="Q58" s="121">
        <f t="shared" si="6"/>
        <v>1.1200000000000001</v>
      </c>
      <c r="S58" s="194"/>
    </row>
    <row r="59" spans="2:19" s="121" customFormat="1" ht="16.5" customHeight="1" x14ac:dyDescent="0.2">
      <c r="B59" s="120"/>
      <c r="C59" s="56" t="s">
        <v>223</v>
      </c>
      <c r="D59" s="56" t="s">
        <v>96</v>
      </c>
      <c r="E59" s="57" t="s">
        <v>329</v>
      </c>
      <c r="F59" s="58" t="s">
        <v>330</v>
      </c>
      <c r="G59" s="59" t="s">
        <v>99</v>
      </c>
      <c r="H59" s="60">
        <v>1</v>
      </c>
      <c r="I59" s="61">
        <v>219.64</v>
      </c>
      <c r="J59" s="60">
        <v>219.6</v>
      </c>
      <c r="K59" s="68">
        <v>0</v>
      </c>
      <c r="L59" s="69">
        <f t="shared" si="1"/>
        <v>219.64</v>
      </c>
      <c r="M59" s="273">
        <f t="shared" si="2"/>
        <v>0</v>
      </c>
      <c r="N59" s="71">
        <f t="shared" si="3"/>
        <v>1</v>
      </c>
      <c r="O59" s="72">
        <f t="shared" si="4"/>
        <v>219.64</v>
      </c>
      <c r="P59" s="274">
        <f t="shared" si="5"/>
        <v>219.64</v>
      </c>
      <c r="Q59" s="121">
        <f t="shared" si="6"/>
        <v>1.1200000000000001</v>
      </c>
      <c r="S59" s="194"/>
    </row>
    <row r="60" spans="2:19" s="121" customFormat="1" ht="16.5" customHeight="1" x14ac:dyDescent="0.2">
      <c r="B60" s="120"/>
      <c r="C60" s="73" t="s">
        <v>226</v>
      </c>
      <c r="D60" s="73" t="s">
        <v>209</v>
      </c>
      <c r="E60" s="74" t="s">
        <v>335</v>
      </c>
      <c r="F60" s="75" t="s">
        <v>336</v>
      </c>
      <c r="G60" s="76" t="s">
        <v>99</v>
      </c>
      <c r="H60" s="77">
        <v>1.02</v>
      </c>
      <c r="I60" s="78">
        <v>1129.77</v>
      </c>
      <c r="J60" s="77">
        <v>1152.4000000000001</v>
      </c>
      <c r="K60" s="68">
        <v>0</v>
      </c>
      <c r="L60" s="69">
        <f t="shared" si="1"/>
        <v>1129.77</v>
      </c>
      <c r="M60" s="273">
        <f t="shared" si="2"/>
        <v>0</v>
      </c>
      <c r="N60" s="71">
        <f t="shared" si="3"/>
        <v>1.02</v>
      </c>
      <c r="O60" s="72">
        <f t="shared" si="4"/>
        <v>1129.77</v>
      </c>
      <c r="P60" s="274">
        <f t="shared" si="5"/>
        <v>1152.3653999999999</v>
      </c>
      <c r="Q60" s="121">
        <f t="shared" si="6"/>
        <v>1.1499999999999999</v>
      </c>
      <c r="S60" s="194"/>
    </row>
    <row r="61" spans="2:19" s="121" customFormat="1" ht="33.75" customHeight="1" x14ac:dyDescent="0.2">
      <c r="B61" s="120"/>
      <c r="C61" s="56" t="s">
        <v>230</v>
      </c>
      <c r="D61" s="56" t="s">
        <v>96</v>
      </c>
      <c r="E61" s="57" t="s">
        <v>347</v>
      </c>
      <c r="F61" s="58" t="s">
        <v>348</v>
      </c>
      <c r="G61" s="59" t="s">
        <v>133</v>
      </c>
      <c r="H61" s="60">
        <v>10.5</v>
      </c>
      <c r="I61" s="61">
        <v>56.03</v>
      </c>
      <c r="J61" s="60">
        <v>588.29999999999995</v>
      </c>
      <c r="K61" s="68">
        <f t="shared" ref="K61" si="8">ROUND(10.7/11.8*Q61-Q61,2)</f>
        <v>-1.1000000000000001</v>
      </c>
      <c r="L61" s="69">
        <f t="shared" si="1"/>
        <v>56.03</v>
      </c>
      <c r="M61" s="273">
        <f t="shared" si="2"/>
        <v>-61.63300000000001</v>
      </c>
      <c r="N61" s="71">
        <f t="shared" si="3"/>
        <v>9.4</v>
      </c>
      <c r="O61" s="72">
        <f t="shared" si="4"/>
        <v>56.03</v>
      </c>
      <c r="P61" s="274">
        <f t="shared" si="5"/>
        <v>526.68200000000002</v>
      </c>
      <c r="Q61" s="121">
        <f t="shared" si="6"/>
        <v>11.8</v>
      </c>
      <c r="S61" s="194"/>
    </row>
    <row r="62" spans="2:19" s="121" customFormat="1" ht="16.5" customHeight="1" x14ac:dyDescent="0.2">
      <c r="B62" s="120"/>
      <c r="C62" s="56" t="s">
        <v>233</v>
      </c>
      <c r="D62" s="56" t="s">
        <v>96</v>
      </c>
      <c r="E62" s="57" t="s">
        <v>350</v>
      </c>
      <c r="F62" s="58" t="s">
        <v>351</v>
      </c>
      <c r="G62" s="59" t="s">
        <v>99</v>
      </c>
      <c r="H62" s="60">
        <v>2</v>
      </c>
      <c r="I62" s="61">
        <v>808.86</v>
      </c>
      <c r="J62" s="60">
        <v>1617.7</v>
      </c>
      <c r="K62" s="68">
        <v>0</v>
      </c>
      <c r="L62" s="69">
        <f t="shared" si="1"/>
        <v>808.86</v>
      </c>
      <c r="M62" s="273">
        <f t="shared" si="2"/>
        <v>0</v>
      </c>
      <c r="N62" s="71">
        <f t="shared" si="3"/>
        <v>2</v>
      </c>
      <c r="O62" s="72">
        <f t="shared" si="4"/>
        <v>808.86</v>
      </c>
      <c r="P62" s="274">
        <f t="shared" si="5"/>
        <v>1617.72</v>
      </c>
      <c r="Q62" s="121">
        <f t="shared" si="6"/>
        <v>2.25</v>
      </c>
      <c r="S62" s="194"/>
    </row>
    <row r="63" spans="2:19" s="121" customFormat="1" ht="16.5" customHeight="1" x14ac:dyDescent="0.2">
      <c r="B63" s="120"/>
      <c r="C63" s="73" t="s">
        <v>236</v>
      </c>
      <c r="D63" s="73" t="s">
        <v>209</v>
      </c>
      <c r="E63" s="74" t="s">
        <v>356</v>
      </c>
      <c r="F63" s="75" t="s">
        <v>357</v>
      </c>
      <c r="G63" s="76" t="s">
        <v>99</v>
      </c>
      <c r="H63" s="77">
        <v>1</v>
      </c>
      <c r="I63" s="78">
        <v>1202.1099999999999</v>
      </c>
      <c r="J63" s="77">
        <v>1202.0999999999999</v>
      </c>
      <c r="K63" s="68">
        <v>0</v>
      </c>
      <c r="L63" s="69">
        <f t="shared" si="1"/>
        <v>1202.1099999999999</v>
      </c>
      <c r="M63" s="273">
        <f t="shared" si="2"/>
        <v>0</v>
      </c>
      <c r="N63" s="71">
        <f t="shared" si="3"/>
        <v>1</v>
      </c>
      <c r="O63" s="72">
        <f t="shared" si="4"/>
        <v>1202.1099999999999</v>
      </c>
      <c r="P63" s="274">
        <f t="shared" si="5"/>
        <v>1202.1099999999999</v>
      </c>
      <c r="Q63" s="121">
        <f t="shared" si="6"/>
        <v>1.1200000000000001</v>
      </c>
      <c r="S63" s="194"/>
    </row>
    <row r="64" spans="2:19" s="121" customFormat="1" ht="16.5" customHeight="1" x14ac:dyDescent="0.2">
      <c r="B64" s="120"/>
      <c r="C64" s="73" t="s">
        <v>239</v>
      </c>
      <c r="D64" s="73" t="s">
        <v>209</v>
      </c>
      <c r="E64" s="74" t="s">
        <v>359</v>
      </c>
      <c r="F64" s="75" t="s">
        <v>360</v>
      </c>
      <c r="G64" s="76" t="s">
        <v>99</v>
      </c>
      <c r="H64" s="77">
        <v>1</v>
      </c>
      <c r="I64" s="78">
        <v>775.98</v>
      </c>
      <c r="J64" s="77">
        <v>776</v>
      </c>
      <c r="K64" s="68">
        <v>0</v>
      </c>
      <c r="L64" s="69">
        <f t="shared" si="1"/>
        <v>775.98</v>
      </c>
      <c r="M64" s="273">
        <f t="shared" si="2"/>
        <v>0</v>
      </c>
      <c r="N64" s="71">
        <f t="shared" si="3"/>
        <v>1</v>
      </c>
      <c r="O64" s="72">
        <f t="shared" si="4"/>
        <v>775.98</v>
      </c>
      <c r="P64" s="274">
        <f t="shared" si="5"/>
        <v>775.98</v>
      </c>
      <c r="Q64" s="121">
        <f t="shared" si="6"/>
        <v>1.1200000000000001</v>
      </c>
      <c r="S64" s="194"/>
    </row>
    <row r="65" spans="2:19" s="121" customFormat="1" ht="16.5" customHeight="1" x14ac:dyDescent="0.2">
      <c r="B65" s="120"/>
      <c r="C65" s="73" t="s">
        <v>242</v>
      </c>
      <c r="D65" s="73" t="s">
        <v>209</v>
      </c>
      <c r="E65" s="74" t="s">
        <v>362</v>
      </c>
      <c r="F65" s="75" t="s">
        <v>363</v>
      </c>
      <c r="G65" s="76" t="s">
        <v>99</v>
      </c>
      <c r="H65" s="77">
        <v>3</v>
      </c>
      <c r="I65" s="78">
        <v>211.75</v>
      </c>
      <c r="J65" s="77">
        <v>635.29999999999995</v>
      </c>
      <c r="K65" s="68">
        <v>0</v>
      </c>
      <c r="L65" s="69">
        <f t="shared" si="1"/>
        <v>211.75</v>
      </c>
      <c r="M65" s="273">
        <f t="shared" si="2"/>
        <v>0</v>
      </c>
      <c r="N65" s="71">
        <f t="shared" si="3"/>
        <v>3</v>
      </c>
      <c r="O65" s="72">
        <f t="shared" si="4"/>
        <v>211.75</v>
      </c>
      <c r="P65" s="274">
        <f t="shared" si="5"/>
        <v>635.25</v>
      </c>
      <c r="Q65" s="121">
        <f t="shared" si="6"/>
        <v>3.37</v>
      </c>
      <c r="S65" s="194"/>
    </row>
    <row r="66" spans="2:19" s="121" customFormat="1" ht="16.5" customHeight="1" x14ac:dyDescent="0.2">
      <c r="B66" s="120"/>
      <c r="C66" s="56" t="s">
        <v>245</v>
      </c>
      <c r="D66" s="56" t="s">
        <v>96</v>
      </c>
      <c r="E66" s="57" t="s">
        <v>365</v>
      </c>
      <c r="F66" s="58" t="s">
        <v>366</v>
      </c>
      <c r="G66" s="59" t="s">
        <v>99</v>
      </c>
      <c r="H66" s="60">
        <v>1</v>
      </c>
      <c r="I66" s="61">
        <v>808.86</v>
      </c>
      <c r="J66" s="60">
        <v>808.9</v>
      </c>
      <c r="K66" s="68">
        <v>0</v>
      </c>
      <c r="L66" s="69">
        <f t="shared" si="1"/>
        <v>808.86</v>
      </c>
      <c r="M66" s="273">
        <f t="shared" si="2"/>
        <v>0</v>
      </c>
      <c r="N66" s="71">
        <f t="shared" si="3"/>
        <v>1</v>
      </c>
      <c r="O66" s="72">
        <f t="shared" si="4"/>
        <v>808.86</v>
      </c>
      <c r="P66" s="274">
        <f t="shared" si="5"/>
        <v>808.86</v>
      </c>
      <c r="Q66" s="121">
        <f t="shared" si="6"/>
        <v>1.1200000000000001</v>
      </c>
      <c r="S66" s="194"/>
    </row>
    <row r="67" spans="2:19" s="121" customFormat="1" ht="16.5" customHeight="1" x14ac:dyDescent="0.2">
      <c r="B67" s="120"/>
      <c r="C67" s="73" t="s">
        <v>248</v>
      </c>
      <c r="D67" s="73" t="s">
        <v>209</v>
      </c>
      <c r="E67" s="74" t="s">
        <v>368</v>
      </c>
      <c r="F67" s="75" t="s">
        <v>369</v>
      </c>
      <c r="G67" s="76" t="s">
        <v>99</v>
      </c>
      <c r="H67" s="77">
        <v>1</v>
      </c>
      <c r="I67" s="78">
        <v>1530.92</v>
      </c>
      <c r="J67" s="77">
        <v>1530.9</v>
      </c>
      <c r="K67" s="68">
        <v>0</v>
      </c>
      <c r="L67" s="69">
        <f t="shared" si="1"/>
        <v>1530.92</v>
      </c>
      <c r="M67" s="273">
        <f t="shared" si="2"/>
        <v>0</v>
      </c>
      <c r="N67" s="71">
        <f t="shared" si="3"/>
        <v>1</v>
      </c>
      <c r="O67" s="72">
        <f t="shared" si="4"/>
        <v>1530.92</v>
      </c>
      <c r="P67" s="274">
        <f t="shared" si="5"/>
        <v>1530.92</v>
      </c>
      <c r="Q67" s="121">
        <f t="shared" si="6"/>
        <v>1.1200000000000001</v>
      </c>
      <c r="S67" s="194"/>
    </row>
    <row r="68" spans="2:19" s="121" customFormat="1" ht="16.5" customHeight="1" x14ac:dyDescent="0.2">
      <c r="B68" s="120"/>
      <c r="C68" s="56" t="s">
        <v>251</v>
      </c>
      <c r="D68" s="56" t="s">
        <v>96</v>
      </c>
      <c r="E68" s="57" t="s">
        <v>371</v>
      </c>
      <c r="F68" s="58" t="s">
        <v>372</v>
      </c>
      <c r="G68" s="59" t="s">
        <v>99</v>
      </c>
      <c r="H68" s="60">
        <v>1</v>
      </c>
      <c r="I68" s="61">
        <v>3234.12</v>
      </c>
      <c r="J68" s="60">
        <v>3234.1</v>
      </c>
      <c r="K68" s="68">
        <v>0</v>
      </c>
      <c r="L68" s="69">
        <f t="shared" si="1"/>
        <v>3234.12</v>
      </c>
      <c r="M68" s="273">
        <f t="shared" si="2"/>
        <v>0</v>
      </c>
      <c r="N68" s="71">
        <f t="shared" si="3"/>
        <v>1</v>
      </c>
      <c r="O68" s="72">
        <f t="shared" si="4"/>
        <v>3234.12</v>
      </c>
      <c r="P68" s="274">
        <f t="shared" si="5"/>
        <v>3234.12</v>
      </c>
      <c r="Q68" s="121">
        <f t="shared" si="6"/>
        <v>1.1200000000000001</v>
      </c>
      <c r="S68" s="194"/>
    </row>
    <row r="69" spans="2:19" s="121" customFormat="1" ht="16.5" customHeight="1" x14ac:dyDescent="0.2">
      <c r="B69" s="120"/>
      <c r="C69" s="73" t="s">
        <v>254</v>
      </c>
      <c r="D69" s="73" t="s">
        <v>209</v>
      </c>
      <c r="E69" s="74" t="s">
        <v>374</v>
      </c>
      <c r="F69" s="75" t="s">
        <v>375</v>
      </c>
      <c r="G69" s="76" t="s">
        <v>99</v>
      </c>
      <c r="H69" s="77">
        <v>1</v>
      </c>
      <c r="I69" s="78">
        <v>14588.41</v>
      </c>
      <c r="J69" s="77">
        <v>14588.4</v>
      </c>
      <c r="K69" s="68">
        <v>0</v>
      </c>
      <c r="L69" s="69">
        <f t="shared" si="1"/>
        <v>14588.41</v>
      </c>
      <c r="M69" s="273">
        <f t="shared" si="2"/>
        <v>0</v>
      </c>
      <c r="N69" s="71">
        <f t="shared" si="3"/>
        <v>1</v>
      </c>
      <c r="O69" s="72">
        <f t="shared" si="4"/>
        <v>14588.41</v>
      </c>
      <c r="P69" s="274">
        <f t="shared" si="5"/>
        <v>14588.41</v>
      </c>
      <c r="Q69" s="121">
        <f t="shared" si="6"/>
        <v>1.1200000000000001</v>
      </c>
      <c r="S69" s="194"/>
    </row>
    <row r="70" spans="2:19" s="121" customFormat="1" ht="16.5" customHeight="1" x14ac:dyDescent="0.2">
      <c r="B70" s="120"/>
      <c r="C70" s="56" t="s">
        <v>258</v>
      </c>
      <c r="D70" s="56" t="s">
        <v>96</v>
      </c>
      <c r="E70" s="57" t="s">
        <v>377</v>
      </c>
      <c r="F70" s="58" t="s">
        <v>378</v>
      </c>
      <c r="G70" s="59" t="s">
        <v>99</v>
      </c>
      <c r="H70" s="60">
        <v>1</v>
      </c>
      <c r="I70" s="61">
        <v>485.32</v>
      </c>
      <c r="J70" s="60">
        <v>485.3</v>
      </c>
      <c r="K70" s="68">
        <v>0</v>
      </c>
      <c r="L70" s="69">
        <f t="shared" si="1"/>
        <v>485.32</v>
      </c>
      <c r="M70" s="273">
        <f t="shared" si="2"/>
        <v>0</v>
      </c>
      <c r="N70" s="71">
        <f t="shared" si="3"/>
        <v>1</v>
      </c>
      <c r="O70" s="72">
        <f t="shared" si="4"/>
        <v>485.32</v>
      </c>
      <c r="P70" s="274">
        <f t="shared" si="5"/>
        <v>485.32</v>
      </c>
      <c r="Q70" s="121">
        <f t="shared" si="6"/>
        <v>1.1200000000000001</v>
      </c>
      <c r="S70" s="194"/>
    </row>
    <row r="71" spans="2:19" s="121" customFormat="1" ht="16.5" customHeight="1" x14ac:dyDescent="0.2">
      <c r="B71" s="120"/>
      <c r="C71" s="73" t="s">
        <v>261</v>
      </c>
      <c r="D71" s="73" t="s">
        <v>209</v>
      </c>
      <c r="E71" s="74" t="s">
        <v>380</v>
      </c>
      <c r="F71" s="75" t="s">
        <v>381</v>
      </c>
      <c r="G71" s="76" t="s">
        <v>99</v>
      </c>
      <c r="H71" s="77">
        <v>1</v>
      </c>
      <c r="I71" s="78">
        <v>6510.34</v>
      </c>
      <c r="J71" s="77">
        <v>6510.3</v>
      </c>
      <c r="K71" s="68">
        <v>0</v>
      </c>
      <c r="L71" s="69">
        <f t="shared" si="1"/>
        <v>6510.34</v>
      </c>
      <c r="M71" s="273">
        <f t="shared" si="2"/>
        <v>0</v>
      </c>
      <c r="N71" s="71">
        <f t="shared" si="3"/>
        <v>1</v>
      </c>
      <c r="O71" s="72">
        <f t="shared" si="4"/>
        <v>6510.34</v>
      </c>
      <c r="P71" s="274">
        <f t="shared" si="5"/>
        <v>6510.34</v>
      </c>
      <c r="Q71" s="121">
        <f t="shared" si="6"/>
        <v>1.1200000000000001</v>
      </c>
      <c r="S71" s="194"/>
    </row>
    <row r="72" spans="2:19" s="121" customFormat="1" ht="16.5" customHeight="1" x14ac:dyDescent="0.2">
      <c r="B72" s="120"/>
      <c r="C72" s="56" t="s">
        <v>264</v>
      </c>
      <c r="D72" s="56" t="s">
        <v>96</v>
      </c>
      <c r="E72" s="57" t="s">
        <v>383</v>
      </c>
      <c r="F72" s="58" t="s">
        <v>384</v>
      </c>
      <c r="G72" s="59" t="s">
        <v>133</v>
      </c>
      <c r="H72" s="60">
        <v>10.5</v>
      </c>
      <c r="I72" s="61">
        <v>9.2100000000000009</v>
      </c>
      <c r="J72" s="60">
        <v>96.7</v>
      </c>
      <c r="K72" s="68">
        <f t="shared" ref="K72" si="9">ROUND(10.7/11.8*Q72-Q72,2)</f>
        <v>-1.1000000000000001</v>
      </c>
      <c r="L72" s="69">
        <f t="shared" si="1"/>
        <v>9.2100000000000009</v>
      </c>
      <c r="M72" s="273">
        <f t="shared" si="2"/>
        <v>-10.131000000000002</v>
      </c>
      <c r="N72" s="71">
        <f t="shared" si="3"/>
        <v>9.4</v>
      </c>
      <c r="O72" s="72">
        <f t="shared" si="4"/>
        <v>9.2100000000000009</v>
      </c>
      <c r="P72" s="274">
        <f t="shared" si="5"/>
        <v>86.574000000000012</v>
      </c>
      <c r="Q72" s="121">
        <f t="shared" si="6"/>
        <v>11.8</v>
      </c>
      <c r="S72" s="194"/>
    </row>
    <row r="73" spans="2:19" s="170" customFormat="1" ht="22.9" customHeight="1" x14ac:dyDescent="0.2">
      <c r="B73" s="165"/>
      <c r="C73" s="252"/>
      <c r="D73" s="253" t="s">
        <v>4</v>
      </c>
      <c r="E73" s="254" t="s">
        <v>118</v>
      </c>
      <c r="F73" s="254" t="s">
        <v>385</v>
      </c>
      <c r="G73" s="252"/>
      <c r="H73" s="252"/>
      <c r="I73" s="255"/>
      <c r="J73" s="256">
        <f>+SUBTOTAL(9,J74:J75)</f>
        <v>1120</v>
      </c>
      <c r="K73" s="261">
        <v>0</v>
      </c>
      <c r="L73" s="262">
        <f t="shared" si="1"/>
        <v>0</v>
      </c>
      <c r="M73" s="279">
        <f>SUM(M74:M75)</f>
        <v>0</v>
      </c>
      <c r="N73" s="280"/>
      <c r="O73" s="262"/>
      <c r="P73" s="279">
        <f>SUM(P74:P75)</f>
        <v>1119.93</v>
      </c>
      <c r="Q73" s="121">
        <f t="shared" si="6"/>
        <v>0</v>
      </c>
      <c r="R73" s="121"/>
      <c r="S73" s="194"/>
    </row>
    <row r="74" spans="2:19" s="121" customFormat="1" ht="16.5" customHeight="1" x14ac:dyDescent="0.2">
      <c r="B74" s="120"/>
      <c r="C74" s="56" t="s">
        <v>267</v>
      </c>
      <c r="D74" s="56" t="s">
        <v>96</v>
      </c>
      <c r="E74" s="57" t="s">
        <v>387</v>
      </c>
      <c r="F74" s="58" t="s">
        <v>388</v>
      </c>
      <c r="G74" s="59" t="s">
        <v>133</v>
      </c>
      <c r="H74" s="60">
        <v>7</v>
      </c>
      <c r="I74" s="61">
        <v>87.65</v>
      </c>
      <c r="J74" s="60">
        <v>613.6</v>
      </c>
      <c r="K74" s="68">
        <v>0</v>
      </c>
      <c r="L74" s="69">
        <f t="shared" si="1"/>
        <v>87.65</v>
      </c>
      <c r="M74" s="273">
        <f t="shared" si="2"/>
        <v>0</v>
      </c>
      <c r="N74" s="71">
        <f t="shared" si="3"/>
        <v>7</v>
      </c>
      <c r="O74" s="72">
        <f t="shared" si="4"/>
        <v>87.65</v>
      </c>
      <c r="P74" s="274">
        <f t="shared" si="5"/>
        <v>613.55000000000007</v>
      </c>
      <c r="Q74" s="121">
        <f t="shared" si="6"/>
        <v>7.87</v>
      </c>
      <c r="S74" s="194"/>
    </row>
    <row r="75" spans="2:19" s="121" customFormat="1" ht="16.5" customHeight="1" x14ac:dyDescent="0.2">
      <c r="B75" s="120"/>
      <c r="C75" s="56" t="s">
        <v>270</v>
      </c>
      <c r="D75" s="56" t="s">
        <v>96</v>
      </c>
      <c r="E75" s="57" t="s">
        <v>390</v>
      </c>
      <c r="F75" s="58" t="s">
        <v>391</v>
      </c>
      <c r="G75" s="59" t="s">
        <v>133</v>
      </c>
      <c r="H75" s="60">
        <v>7</v>
      </c>
      <c r="I75" s="61">
        <v>72.34</v>
      </c>
      <c r="J75" s="60">
        <v>506.4</v>
      </c>
      <c r="K75" s="68">
        <v>0</v>
      </c>
      <c r="L75" s="69">
        <f t="shared" si="1"/>
        <v>72.34</v>
      </c>
      <c r="M75" s="273">
        <f t="shared" si="2"/>
        <v>0</v>
      </c>
      <c r="N75" s="71">
        <f t="shared" si="3"/>
        <v>7</v>
      </c>
      <c r="O75" s="72">
        <f t="shared" si="4"/>
        <v>72.34</v>
      </c>
      <c r="P75" s="274">
        <f t="shared" si="5"/>
        <v>506.38</v>
      </c>
      <c r="Q75" s="121">
        <f t="shared" si="6"/>
        <v>7.87</v>
      </c>
      <c r="S75" s="194"/>
    </row>
    <row r="76" spans="2:19" s="170" customFormat="1" ht="22.9" customHeight="1" x14ac:dyDescent="0.2">
      <c r="B76" s="165"/>
      <c r="C76" s="252"/>
      <c r="D76" s="253" t="s">
        <v>4</v>
      </c>
      <c r="E76" s="254" t="s">
        <v>398</v>
      </c>
      <c r="F76" s="254" t="s">
        <v>399</v>
      </c>
      <c r="G76" s="252"/>
      <c r="H76" s="252"/>
      <c r="I76" s="255"/>
      <c r="J76" s="256">
        <f>+SUBTOTAL(9,J77:J79)</f>
        <v>2331.6999999999998</v>
      </c>
      <c r="K76" s="261"/>
      <c r="L76" s="262"/>
      <c r="M76" s="279">
        <f>SUM(M77:M79)</f>
        <v>-191.4674</v>
      </c>
      <c r="N76" s="280"/>
      <c r="O76" s="262"/>
      <c r="P76" s="279">
        <f>SUM(P77:P79)</f>
        <v>2140.3072999999999</v>
      </c>
      <c r="Q76" s="121">
        <f t="shared" si="6"/>
        <v>0</v>
      </c>
      <c r="R76" s="121"/>
      <c r="S76" s="194"/>
    </row>
    <row r="77" spans="2:19" s="121" customFormat="1" ht="16.5" customHeight="1" x14ac:dyDescent="0.2">
      <c r="B77" s="120"/>
      <c r="C77" s="56" t="s">
        <v>273</v>
      </c>
      <c r="D77" s="56" t="s">
        <v>96</v>
      </c>
      <c r="E77" s="57" t="s">
        <v>401</v>
      </c>
      <c r="F77" s="58" t="s">
        <v>402</v>
      </c>
      <c r="G77" s="59" t="s">
        <v>201</v>
      </c>
      <c r="H77" s="60">
        <v>7.48</v>
      </c>
      <c r="I77" s="61">
        <v>130.46</v>
      </c>
      <c r="J77" s="60">
        <v>975.8</v>
      </c>
      <c r="K77" s="68">
        <f t="shared" ref="K77" si="10">ROUND(10.7/11.8*Q77-Q77,2)</f>
        <v>-0.78</v>
      </c>
      <c r="L77" s="69">
        <f t="shared" si="1"/>
        <v>130.46</v>
      </c>
      <c r="M77" s="273">
        <f t="shared" si="2"/>
        <v>-101.75880000000001</v>
      </c>
      <c r="N77" s="71">
        <f t="shared" si="3"/>
        <v>6.7</v>
      </c>
      <c r="O77" s="72">
        <f t="shared" si="4"/>
        <v>130.46</v>
      </c>
      <c r="P77" s="274">
        <f t="shared" si="5"/>
        <v>874.08200000000011</v>
      </c>
      <c r="Q77" s="121">
        <f t="shared" si="6"/>
        <v>8.41</v>
      </c>
      <c r="S77" s="194"/>
    </row>
    <row r="78" spans="2:19" s="121" customFormat="1" ht="16.5" customHeight="1" x14ac:dyDescent="0.2">
      <c r="B78" s="120"/>
      <c r="C78" s="56" t="s">
        <v>276</v>
      </c>
      <c r="D78" s="56" t="s">
        <v>96</v>
      </c>
      <c r="E78" s="57" t="s">
        <v>407</v>
      </c>
      <c r="F78" s="58" t="s">
        <v>408</v>
      </c>
      <c r="G78" s="59" t="s">
        <v>201</v>
      </c>
      <c r="H78" s="60">
        <v>1.93</v>
      </c>
      <c r="I78" s="61">
        <v>257.77999999999997</v>
      </c>
      <c r="J78" s="60">
        <v>497.5</v>
      </c>
      <c r="K78" s="68">
        <v>0</v>
      </c>
      <c r="L78" s="69">
        <f t="shared" si="1"/>
        <v>257.77999999999997</v>
      </c>
      <c r="M78" s="273">
        <f t="shared" si="2"/>
        <v>0</v>
      </c>
      <c r="N78" s="71">
        <f t="shared" si="3"/>
        <v>1.93</v>
      </c>
      <c r="O78" s="72">
        <f t="shared" si="4"/>
        <v>257.77999999999997</v>
      </c>
      <c r="P78" s="274">
        <f t="shared" si="5"/>
        <v>497.51539999999994</v>
      </c>
      <c r="Q78" s="121">
        <f t="shared" si="6"/>
        <v>2.17</v>
      </c>
      <c r="S78" s="194"/>
    </row>
    <row r="79" spans="2:19" s="121" customFormat="1" ht="16.5" customHeight="1" x14ac:dyDescent="0.2">
      <c r="B79" s="120"/>
      <c r="C79" s="56" t="s">
        <v>279</v>
      </c>
      <c r="D79" s="56" t="s">
        <v>96</v>
      </c>
      <c r="E79" s="57" t="s">
        <v>410</v>
      </c>
      <c r="F79" s="58" t="s">
        <v>411</v>
      </c>
      <c r="G79" s="59" t="s">
        <v>201</v>
      </c>
      <c r="H79" s="60">
        <v>5.55</v>
      </c>
      <c r="I79" s="61">
        <v>154.66999999999999</v>
      </c>
      <c r="J79" s="60">
        <v>858.4</v>
      </c>
      <c r="K79" s="68">
        <f t="shared" ref="K79" si="11">ROUND(10.7/11.8*Q79-Q79,2)</f>
        <v>-0.57999999999999996</v>
      </c>
      <c r="L79" s="69">
        <f t="shared" si="1"/>
        <v>154.66999999999999</v>
      </c>
      <c r="M79" s="273">
        <f t="shared" si="2"/>
        <v>-89.70859999999999</v>
      </c>
      <c r="N79" s="71">
        <f t="shared" si="3"/>
        <v>4.97</v>
      </c>
      <c r="O79" s="72">
        <f t="shared" si="4"/>
        <v>154.66999999999999</v>
      </c>
      <c r="P79" s="274">
        <f t="shared" si="5"/>
        <v>768.70989999999995</v>
      </c>
      <c r="Q79" s="121">
        <f t="shared" si="6"/>
        <v>6.24</v>
      </c>
      <c r="S79" s="194"/>
    </row>
    <row r="80" spans="2:19" s="170" customFormat="1" ht="22.9" customHeight="1" x14ac:dyDescent="0.2">
      <c r="B80" s="165"/>
      <c r="C80" s="252"/>
      <c r="D80" s="253" t="s">
        <v>4</v>
      </c>
      <c r="E80" s="254" t="s">
        <v>412</v>
      </c>
      <c r="F80" s="254" t="s">
        <v>413</v>
      </c>
      <c r="G80" s="252"/>
      <c r="H80" s="252"/>
      <c r="I80" s="255"/>
      <c r="J80" s="256">
        <f>+SUBTOTAL(9,J81)</f>
        <v>3279.3</v>
      </c>
      <c r="K80" s="261"/>
      <c r="L80" s="262"/>
      <c r="M80" s="279">
        <f>M81</f>
        <v>-343.26</v>
      </c>
      <c r="N80" s="280"/>
      <c r="O80" s="262"/>
      <c r="P80" s="279">
        <f>P81</f>
        <v>2936.0172000000002</v>
      </c>
      <c r="Q80" s="121">
        <f t="shared" ref="Q80:Q81" si="12">ROUND(11.8/10.5*H80,2)</f>
        <v>0</v>
      </c>
      <c r="R80" s="121"/>
      <c r="S80" s="194"/>
    </row>
    <row r="81" spans="2:19" s="121" customFormat="1" ht="16.5" customHeight="1" x14ac:dyDescent="0.2">
      <c r="B81" s="120"/>
      <c r="C81" s="56" t="s">
        <v>282</v>
      </c>
      <c r="D81" s="56" t="s">
        <v>96</v>
      </c>
      <c r="E81" s="57" t="s">
        <v>415</v>
      </c>
      <c r="F81" s="58" t="s">
        <v>416</v>
      </c>
      <c r="G81" s="59" t="s">
        <v>201</v>
      </c>
      <c r="H81" s="60">
        <v>28.66</v>
      </c>
      <c r="I81" s="61">
        <v>114.42</v>
      </c>
      <c r="J81" s="60">
        <v>3279.3</v>
      </c>
      <c r="K81" s="68">
        <f t="shared" ref="K81" si="13">ROUND(10.7/11.8*Q81-Q81,2)</f>
        <v>-3</v>
      </c>
      <c r="L81" s="69">
        <f t="shared" ref="L81" si="14">I81</f>
        <v>114.42</v>
      </c>
      <c r="M81" s="273">
        <f t="shared" ref="M81" si="15">K81*L81</f>
        <v>-343.26</v>
      </c>
      <c r="N81" s="71">
        <f t="shared" ref="N81" si="16">H81+K81</f>
        <v>25.66</v>
      </c>
      <c r="O81" s="72">
        <f t="shared" ref="O81" si="17">I81</f>
        <v>114.42</v>
      </c>
      <c r="P81" s="274">
        <f t="shared" ref="P81" si="18">N81*O81</f>
        <v>2936.0172000000002</v>
      </c>
      <c r="Q81" s="121">
        <f t="shared" si="12"/>
        <v>32.21</v>
      </c>
      <c r="S81" s="194"/>
    </row>
    <row r="82" spans="2:19" s="121" customFormat="1" ht="6.95" customHeight="1" x14ac:dyDescent="0.2">
      <c r="B82" s="120"/>
      <c r="C82" s="120"/>
      <c r="D82" s="120"/>
      <c r="E82" s="120"/>
      <c r="F82" s="120"/>
      <c r="G82" s="120"/>
      <c r="H82" s="120"/>
      <c r="I82" s="153"/>
      <c r="J82" s="120"/>
    </row>
    <row r="83" spans="2:19" ht="18" customHeight="1" x14ac:dyDescent="0.2">
      <c r="D83" s="42"/>
      <c r="E83" s="43" t="s">
        <v>901</v>
      </c>
      <c r="F83" s="44"/>
      <c r="G83" s="44"/>
      <c r="H83" s="45"/>
      <c r="I83" s="44"/>
      <c r="J83" s="46">
        <f>ROUND(SUBTOTAL(9,J12:J81),2)</f>
        <v>125750.6</v>
      </c>
      <c r="K83" s="49"/>
      <c r="L83" s="46"/>
      <c r="M83" s="281">
        <f>M80+M76+M73+M55+M46+M43+M40+M14</f>
        <v>-7853.593499999999</v>
      </c>
      <c r="N83" s="49"/>
      <c r="O83" s="46"/>
      <c r="P83" s="281">
        <f>P80+P76+P73+P55+P46+P43+P40+P14</f>
        <v>117896.98619999998</v>
      </c>
      <c r="Q83" s="281"/>
    </row>
    <row r="84" spans="2:19" ht="12.75" x14ac:dyDescent="0.2">
      <c r="H84" s="50"/>
      <c r="I84" s="8"/>
      <c r="J84" s="9"/>
    </row>
    <row r="85" spans="2:19" ht="14.25" x14ac:dyDescent="0.2">
      <c r="E85" s="6" t="s">
        <v>849</v>
      </c>
      <c r="F85" s="6"/>
      <c r="G85" s="320" t="s">
        <v>1224</v>
      </c>
      <c r="H85" s="50"/>
      <c r="I85" s="8"/>
      <c r="J85" s="6"/>
      <c r="K85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81" xr:uid="{00000000-0001-0000-1A00-000000000000}"/>
  <mergeCells count="5">
    <mergeCell ref="S47:S48"/>
    <mergeCell ref="K9:M9"/>
    <mergeCell ref="N9:P9"/>
    <mergeCell ref="R47:R48"/>
    <mergeCell ref="T47:T48"/>
  </mergeCells>
  <conditionalFormatting sqref="G85:I85 L85:P85">
    <cfRule type="cellIs" dxfId="370" priority="4" operator="lessThan">
      <formula>0</formula>
    </cfRule>
  </conditionalFormatting>
  <conditionalFormatting sqref="G85:I85 L85:M85">
    <cfRule type="cellIs" dxfId="369" priority="3" operator="lessThan">
      <formula>0</formula>
    </cfRule>
  </conditionalFormatting>
  <conditionalFormatting sqref="G85:I85">
    <cfRule type="cellIs" dxfId="368" priority="2" operator="lessThan">
      <formula>0</formula>
    </cfRule>
  </conditionalFormatting>
  <conditionalFormatting sqref="G85:I85">
    <cfRule type="cellIs" dxfId="367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0" fitToHeight="0" orientation="landscape" r:id="rId1"/>
  <headerFooter>
    <oddFooter>&amp;CStrana &amp;P z &amp;N</oddFooter>
  </headerFooter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pageSetUpPr fitToPage="1"/>
  </sheetPr>
  <dimension ref="B1:V90"/>
  <sheetViews>
    <sheetView showGridLines="0" view="pageBreakPreview" topLeftCell="A50" zoomScale="60" zoomScaleNormal="85" workbookViewId="0">
      <selection activeCell="J73" sqref="J73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2" width="18.6640625" style="8" customWidth="1"/>
    <col min="13" max="13" width="21" style="8" bestFit="1" customWidth="1"/>
    <col min="14" max="14" width="17.6640625" style="8" bestFit="1" customWidth="1"/>
    <col min="15" max="15" width="21.6640625" style="8" bestFit="1" customWidth="1"/>
    <col min="16" max="16" width="21" style="8" bestFit="1" customWidth="1"/>
    <col min="17" max="17" width="21" style="8" customWidth="1"/>
    <col min="18" max="18" width="17.6640625" style="8" bestFit="1" customWidth="1"/>
    <col min="19" max="19" width="3.83203125" style="8" bestFit="1" customWidth="1"/>
    <col min="20" max="22" width="9.33203125" style="8" hidden="1" customWidth="1"/>
    <col min="23" max="16384" width="9.33203125" style="8"/>
  </cols>
  <sheetData>
    <row r="1" spans="2:18" ht="15" x14ac:dyDescent="0.2">
      <c r="F1" s="11"/>
      <c r="G1" s="89"/>
      <c r="H1" s="88"/>
      <c r="I1" s="8"/>
      <c r="J1" s="9"/>
    </row>
    <row r="2" spans="2:18" s="88" customFormat="1" ht="15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18" s="88" customFormat="1" ht="15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18" s="13" customFormat="1" ht="15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18" s="13" customFormat="1" ht="15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18" s="13" customFormat="1" ht="15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18" s="13" customFormat="1" ht="15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18" s="14" customFormat="1" ht="12.75" x14ac:dyDescent="0.2">
      <c r="D8" s="146"/>
      <c r="F8" s="11"/>
      <c r="G8" s="105"/>
      <c r="H8" s="145"/>
      <c r="K8" s="149" t="s">
        <v>851</v>
      </c>
      <c r="L8" s="180" t="str">
        <f>+C12</f>
        <v>C2.3 - Stoka C2.3</v>
      </c>
      <c r="M8" s="180"/>
      <c r="O8" s="151"/>
    </row>
    <row r="9" spans="2:18" s="15" customFormat="1" ht="12.75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  <c r="Q9" s="87"/>
    </row>
    <row r="10" spans="2:18" s="15" customFormat="1" ht="12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41"/>
      <c r="R10" s="189" t="s">
        <v>1163</v>
      </c>
    </row>
    <row r="11" spans="2:18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18" s="121" customFormat="1" ht="15.75" x14ac:dyDescent="0.25">
      <c r="B12" s="120"/>
      <c r="C12" s="152" t="s">
        <v>498</v>
      </c>
      <c r="D12" s="120"/>
      <c r="E12" s="120"/>
      <c r="F12" s="120"/>
      <c r="G12" s="120"/>
      <c r="H12" s="120"/>
      <c r="I12" s="153"/>
      <c r="J12" s="154">
        <f>+SUBTOTAL(9,J13:J86)</f>
        <v>1006131.2999999999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18" s="170" customFormat="1" ht="15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+SUBTOTAL(9,J14:J86)</f>
        <v>1006131.2999999999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18" s="170" customFormat="1" ht="33.75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+SUBTOTAL(9,J15:J37)</f>
        <v>371794.4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SUM(M15:M37)</f>
        <v>1893.4156</v>
      </c>
      <c r="N14" s="278" t="str">
        <f>IF(ISBLANK(H14),"",H14-K14)</f>
        <v/>
      </c>
      <c r="O14" s="272" t="str">
        <f>IF(ISBLANK(H14),"",J14-L14)</f>
        <v/>
      </c>
      <c r="P14" s="272">
        <f>SUM(P15:P37)</f>
        <v>373687.94880000007</v>
      </c>
      <c r="Q14" s="218" t="s">
        <v>1216</v>
      </c>
    </row>
    <row r="15" spans="2:18" s="121" customFormat="1" ht="12" x14ac:dyDescent="0.2">
      <c r="B15" s="120"/>
      <c r="C15" s="56" t="s">
        <v>8</v>
      </c>
      <c r="D15" s="56" t="s">
        <v>96</v>
      </c>
      <c r="E15" s="57" t="s">
        <v>106</v>
      </c>
      <c r="F15" s="58" t="s">
        <v>107</v>
      </c>
      <c r="G15" s="59" t="s">
        <v>108</v>
      </c>
      <c r="H15" s="60">
        <v>28.05</v>
      </c>
      <c r="I15" s="61">
        <v>31.57</v>
      </c>
      <c r="J15" s="60">
        <v>885.5</v>
      </c>
      <c r="K15" s="68">
        <f>ROUND(100.5/100*Q15-Q15,2)</f>
        <v>0.15</v>
      </c>
      <c r="L15" s="69">
        <f>I15</f>
        <v>31.57</v>
      </c>
      <c r="M15" s="273">
        <f>K15*L15</f>
        <v>4.7355</v>
      </c>
      <c r="N15" s="71">
        <f>H15+K15</f>
        <v>28.2</v>
      </c>
      <c r="O15" s="72">
        <f>I15</f>
        <v>31.57</v>
      </c>
      <c r="P15" s="274">
        <f>N15*O15</f>
        <v>890.274</v>
      </c>
      <c r="Q15" s="291">
        <f>ROUND(100/92.7*H15,2)</f>
        <v>30.26</v>
      </c>
    </row>
    <row r="16" spans="2:18" s="121" customFormat="1" ht="12" x14ac:dyDescent="0.2">
      <c r="B16" s="120"/>
      <c r="C16" s="56" t="s">
        <v>13</v>
      </c>
      <c r="D16" s="56" t="s">
        <v>96</v>
      </c>
      <c r="E16" s="57" t="s">
        <v>110</v>
      </c>
      <c r="F16" s="58" t="s">
        <v>111</v>
      </c>
      <c r="G16" s="59" t="s">
        <v>108</v>
      </c>
      <c r="H16" s="60">
        <v>28.05</v>
      </c>
      <c r="I16" s="61">
        <v>23.67</v>
      </c>
      <c r="J16" s="60">
        <v>663.9</v>
      </c>
      <c r="K16" s="68">
        <f t="shared" ref="K16:K40" si="0">ROUND(100.5/100*Q16-Q16,2)</f>
        <v>0.15</v>
      </c>
      <c r="L16" s="69">
        <f t="shared" ref="L16:L79" si="1">I16</f>
        <v>23.67</v>
      </c>
      <c r="M16" s="273">
        <f t="shared" ref="M16:M79" si="2">K16*L16</f>
        <v>3.5505</v>
      </c>
      <c r="N16" s="71">
        <f t="shared" ref="N16:N79" si="3">H16+K16</f>
        <v>28.2</v>
      </c>
      <c r="O16" s="72">
        <f t="shared" ref="O16:O79" si="4">I16</f>
        <v>23.67</v>
      </c>
      <c r="P16" s="274">
        <f t="shared" ref="P16:P79" si="5">N16*O16</f>
        <v>667.49400000000003</v>
      </c>
      <c r="Q16" s="291">
        <f t="shared" ref="Q16:Q79" si="6">ROUND(100/92.7*H16,2)</f>
        <v>30.26</v>
      </c>
    </row>
    <row r="17" spans="2:17" s="121" customFormat="1" ht="12" x14ac:dyDescent="0.2">
      <c r="B17" s="120"/>
      <c r="C17" s="56" t="s">
        <v>100</v>
      </c>
      <c r="D17" s="56" t="s">
        <v>96</v>
      </c>
      <c r="E17" s="57" t="s">
        <v>113</v>
      </c>
      <c r="F17" s="58" t="s">
        <v>114</v>
      </c>
      <c r="G17" s="59" t="s">
        <v>108</v>
      </c>
      <c r="H17" s="60">
        <v>28.05</v>
      </c>
      <c r="I17" s="61">
        <v>26.3</v>
      </c>
      <c r="J17" s="60">
        <v>737.7</v>
      </c>
      <c r="K17" s="68">
        <f t="shared" si="0"/>
        <v>0.15</v>
      </c>
      <c r="L17" s="69">
        <f t="shared" si="1"/>
        <v>26.3</v>
      </c>
      <c r="M17" s="273">
        <f t="shared" si="2"/>
        <v>3.9449999999999998</v>
      </c>
      <c r="N17" s="71">
        <f t="shared" si="3"/>
        <v>28.2</v>
      </c>
      <c r="O17" s="72">
        <f t="shared" si="4"/>
        <v>26.3</v>
      </c>
      <c r="P17" s="274">
        <f t="shared" si="5"/>
        <v>741.66</v>
      </c>
      <c r="Q17" s="291">
        <f t="shared" si="6"/>
        <v>30.26</v>
      </c>
    </row>
    <row r="18" spans="2:17" s="121" customFormat="1" ht="12" x14ac:dyDescent="0.2">
      <c r="B18" s="120"/>
      <c r="C18" s="56" t="s">
        <v>105</v>
      </c>
      <c r="D18" s="56" t="s">
        <v>96</v>
      </c>
      <c r="E18" s="57" t="s">
        <v>116</v>
      </c>
      <c r="F18" s="58" t="s">
        <v>117</v>
      </c>
      <c r="G18" s="59" t="s">
        <v>108</v>
      </c>
      <c r="H18" s="60">
        <v>81.95</v>
      </c>
      <c r="I18" s="61">
        <v>40.770000000000003</v>
      </c>
      <c r="J18" s="60">
        <v>3341.1</v>
      </c>
      <c r="K18" s="68">
        <f t="shared" si="0"/>
        <v>0.44</v>
      </c>
      <c r="L18" s="69">
        <f t="shared" si="1"/>
        <v>40.770000000000003</v>
      </c>
      <c r="M18" s="273">
        <f t="shared" si="2"/>
        <v>17.938800000000001</v>
      </c>
      <c r="N18" s="71">
        <f t="shared" si="3"/>
        <v>82.39</v>
      </c>
      <c r="O18" s="72">
        <f t="shared" si="4"/>
        <v>40.770000000000003</v>
      </c>
      <c r="P18" s="274">
        <f t="shared" si="5"/>
        <v>3359.0403000000001</v>
      </c>
      <c r="Q18" s="291">
        <f t="shared" si="6"/>
        <v>88.4</v>
      </c>
    </row>
    <row r="19" spans="2:17" s="121" customFormat="1" ht="12" x14ac:dyDescent="0.2">
      <c r="B19" s="120"/>
      <c r="C19" s="56" t="s">
        <v>109</v>
      </c>
      <c r="D19" s="56" t="s">
        <v>96</v>
      </c>
      <c r="E19" s="57" t="s">
        <v>125</v>
      </c>
      <c r="F19" s="58" t="s">
        <v>126</v>
      </c>
      <c r="G19" s="59" t="s">
        <v>108</v>
      </c>
      <c r="H19" s="60">
        <v>156.44999999999999</v>
      </c>
      <c r="I19" s="61">
        <v>55.24</v>
      </c>
      <c r="J19" s="60">
        <v>8642.2999999999993</v>
      </c>
      <c r="K19" s="68">
        <v>0</v>
      </c>
      <c r="L19" s="69">
        <f t="shared" si="1"/>
        <v>55.24</v>
      </c>
      <c r="M19" s="273">
        <f t="shared" si="2"/>
        <v>0</v>
      </c>
      <c r="N19" s="71">
        <f t="shared" si="3"/>
        <v>156.44999999999999</v>
      </c>
      <c r="O19" s="72">
        <f t="shared" si="4"/>
        <v>55.24</v>
      </c>
      <c r="P19" s="274">
        <f t="shared" si="5"/>
        <v>8642.2979999999989</v>
      </c>
      <c r="Q19" s="291">
        <f t="shared" si="6"/>
        <v>168.77</v>
      </c>
    </row>
    <row r="20" spans="2:17" s="121" customFormat="1" ht="12" x14ac:dyDescent="0.2">
      <c r="B20" s="120"/>
      <c r="C20" s="56" t="s">
        <v>112</v>
      </c>
      <c r="D20" s="56" t="s">
        <v>96</v>
      </c>
      <c r="E20" s="57" t="s">
        <v>128</v>
      </c>
      <c r="F20" s="58" t="s">
        <v>129</v>
      </c>
      <c r="G20" s="59" t="s">
        <v>108</v>
      </c>
      <c r="H20" s="60">
        <v>81.95</v>
      </c>
      <c r="I20" s="61">
        <v>151.25</v>
      </c>
      <c r="J20" s="60">
        <v>12394.9</v>
      </c>
      <c r="K20" s="68">
        <v>0</v>
      </c>
      <c r="L20" s="69">
        <f t="shared" si="1"/>
        <v>151.25</v>
      </c>
      <c r="M20" s="273">
        <f t="shared" si="2"/>
        <v>0</v>
      </c>
      <c r="N20" s="71">
        <f t="shared" si="3"/>
        <v>81.95</v>
      </c>
      <c r="O20" s="72">
        <f t="shared" si="4"/>
        <v>151.25</v>
      </c>
      <c r="P20" s="274">
        <f t="shared" si="5"/>
        <v>12394.9375</v>
      </c>
      <c r="Q20" s="291">
        <f t="shared" si="6"/>
        <v>88.4</v>
      </c>
    </row>
    <row r="21" spans="2:17" s="121" customFormat="1" ht="12" x14ac:dyDescent="0.2">
      <c r="B21" s="120"/>
      <c r="C21" s="56" t="s">
        <v>115</v>
      </c>
      <c r="D21" s="56" t="s">
        <v>96</v>
      </c>
      <c r="E21" s="57" t="s">
        <v>142</v>
      </c>
      <c r="F21" s="58" t="s">
        <v>143</v>
      </c>
      <c r="G21" s="59" t="s">
        <v>133</v>
      </c>
      <c r="H21" s="60">
        <v>6.6</v>
      </c>
      <c r="I21" s="61">
        <v>170.98</v>
      </c>
      <c r="J21" s="60">
        <v>1128.5</v>
      </c>
      <c r="K21" s="68">
        <f t="shared" si="0"/>
        <v>0.04</v>
      </c>
      <c r="L21" s="69">
        <f t="shared" si="1"/>
        <v>170.98</v>
      </c>
      <c r="M21" s="273">
        <f t="shared" si="2"/>
        <v>6.8391999999999999</v>
      </c>
      <c r="N21" s="71">
        <f t="shared" si="3"/>
        <v>6.64</v>
      </c>
      <c r="O21" s="72">
        <f t="shared" si="4"/>
        <v>170.98</v>
      </c>
      <c r="P21" s="274">
        <f t="shared" si="5"/>
        <v>1135.3072</v>
      </c>
      <c r="Q21" s="291">
        <f t="shared" si="6"/>
        <v>7.12</v>
      </c>
    </row>
    <row r="22" spans="2:17" s="121" customFormat="1" ht="12" x14ac:dyDescent="0.2">
      <c r="B22" s="120"/>
      <c r="C22" s="56" t="s">
        <v>118</v>
      </c>
      <c r="D22" s="56" t="s">
        <v>96</v>
      </c>
      <c r="E22" s="57" t="s">
        <v>145</v>
      </c>
      <c r="F22" s="58" t="s">
        <v>146</v>
      </c>
      <c r="G22" s="59" t="s">
        <v>133</v>
      </c>
      <c r="H22" s="60">
        <v>7.7</v>
      </c>
      <c r="I22" s="61">
        <v>147.30000000000001</v>
      </c>
      <c r="J22" s="60">
        <v>1134.2</v>
      </c>
      <c r="K22" s="68">
        <f t="shared" si="0"/>
        <v>0.04</v>
      </c>
      <c r="L22" s="69">
        <f t="shared" si="1"/>
        <v>147.30000000000001</v>
      </c>
      <c r="M22" s="273">
        <f t="shared" si="2"/>
        <v>5.8920000000000003</v>
      </c>
      <c r="N22" s="71">
        <f t="shared" si="3"/>
        <v>7.74</v>
      </c>
      <c r="O22" s="72">
        <f t="shared" si="4"/>
        <v>147.30000000000001</v>
      </c>
      <c r="P22" s="274">
        <f t="shared" si="5"/>
        <v>1140.1020000000001</v>
      </c>
      <c r="Q22" s="291">
        <f t="shared" si="6"/>
        <v>8.31</v>
      </c>
    </row>
    <row r="23" spans="2:17" s="121" customFormat="1" ht="12" x14ac:dyDescent="0.2">
      <c r="B23" s="120"/>
      <c r="C23" s="56" t="s">
        <v>121</v>
      </c>
      <c r="D23" s="56" t="s">
        <v>96</v>
      </c>
      <c r="E23" s="57" t="s">
        <v>155</v>
      </c>
      <c r="F23" s="58" t="s">
        <v>156</v>
      </c>
      <c r="G23" s="59" t="s">
        <v>150</v>
      </c>
      <c r="H23" s="60">
        <v>24.31</v>
      </c>
      <c r="I23" s="61">
        <v>257.77999999999997</v>
      </c>
      <c r="J23" s="60">
        <v>6266.6</v>
      </c>
      <c r="K23" s="68">
        <f t="shared" si="0"/>
        <v>0.13</v>
      </c>
      <c r="L23" s="69">
        <f t="shared" si="1"/>
        <v>257.77999999999997</v>
      </c>
      <c r="M23" s="273">
        <f t="shared" si="2"/>
        <v>33.511399999999995</v>
      </c>
      <c r="N23" s="71">
        <f t="shared" si="3"/>
        <v>24.439999999999998</v>
      </c>
      <c r="O23" s="72">
        <f t="shared" si="4"/>
        <v>257.77999999999997</v>
      </c>
      <c r="P23" s="274">
        <f t="shared" si="5"/>
        <v>6300.1431999999986</v>
      </c>
      <c r="Q23" s="291">
        <f t="shared" si="6"/>
        <v>26.22</v>
      </c>
    </row>
    <row r="24" spans="2:17" s="121" customFormat="1" ht="12" x14ac:dyDescent="0.2">
      <c r="B24" s="120"/>
      <c r="C24" s="56" t="s">
        <v>124</v>
      </c>
      <c r="D24" s="56" t="s">
        <v>96</v>
      </c>
      <c r="E24" s="57" t="s">
        <v>157</v>
      </c>
      <c r="F24" s="58" t="s">
        <v>158</v>
      </c>
      <c r="G24" s="59" t="s">
        <v>150</v>
      </c>
      <c r="H24" s="60">
        <v>85.07</v>
      </c>
      <c r="I24" s="61">
        <v>257.77999999999997</v>
      </c>
      <c r="J24" s="60">
        <v>21929.3</v>
      </c>
      <c r="K24" s="68">
        <f t="shared" si="0"/>
        <v>0.46</v>
      </c>
      <c r="L24" s="69">
        <f t="shared" si="1"/>
        <v>257.77999999999997</v>
      </c>
      <c r="M24" s="273">
        <f t="shared" si="2"/>
        <v>118.57879999999999</v>
      </c>
      <c r="N24" s="71">
        <f t="shared" si="3"/>
        <v>85.529999999999987</v>
      </c>
      <c r="O24" s="72">
        <f t="shared" si="4"/>
        <v>257.77999999999997</v>
      </c>
      <c r="P24" s="274">
        <f t="shared" si="5"/>
        <v>22047.923399999996</v>
      </c>
      <c r="Q24" s="291">
        <f t="shared" si="6"/>
        <v>91.77</v>
      </c>
    </row>
    <row r="25" spans="2:17" s="121" customFormat="1" ht="12" x14ac:dyDescent="0.2">
      <c r="B25" s="120"/>
      <c r="C25" s="56" t="s">
        <v>127</v>
      </c>
      <c r="D25" s="56" t="s">
        <v>96</v>
      </c>
      <c r="E25" s="57" t="s">
        <v>160</v>
      </c>
      <c r="F25" s="58" t="s">
        <v>161</v>
      </c>
      <c r="G25" s="59" t="s">
        <v>150</v>
      </c>
      <c r="H25" s="60">
        <v>25.52</v>
      </c>
      <c r="I25" s="61">
        <v>13.15</v>
      </c>
      <c r="J25" s="60">
        <v>335.6</v>
      </c>
      <c r="K25" s="68">
        <f t="shared" si="0"/>
        <v>0.14000000000000001</v>
      </c>
      <c r="L25" s="69">
        <f t="shared" si="1"/>
        <v>13.15</v>
      </c>
      <c r="M25" s="273">
        <f t="shared" si="2"/>
        <v>1.8410000000000002</v>
      </c>
      <c r="N25" s="71">
        <f t="shared" si="3"/>
        <v>25.66</v>
      </c>
      <c r="O25" s="72">
        <f t="shared" si="4"/>
        <v>13.15</v>
      </c>
      <c r="P25" s="274">
        <f t="shared" si="5"/>
        <v>337.42900000000003</v>
      </c>
      <c r="Q25" s="291">
        <f t="shared" si="6"/>
        <v>27.53</v>
      </c>
    </row>
    <row r="26" spans="2:17" s="121" customFormat="1" ht="12" x14ac:dyDescent="0.2">
      <c r="B26" s="120"/>
      <c r="C26" s="56" t="s">
        <v>130</v>
      </c>
      <c r="D26" s="56" t="s">
        <v>96</v>
      </c>
      <c r="E26" s="57" t="s">
        <v>163</v>
      </c>
      <c r="F26" s="58" t="s">
        <v>164</v>
      </c>
      <c r="G26" s="59" t="s">
        <v>150</v>
      </c>
      <c r="H26" s="60">
        <v>159.38999999999999</v>
      </c>
      <c r="I26" s="61">
        <v>315.64999999999998</v>
      </c>
      <c r="J26" s="60">
        <v>50311.5</v>
      </c>
      <c r="K26" s="68">
        <f t="shared" si="0"/>
        <v>0.86</v>
      </c>
      <c r="L26" s="69">
        <f t="shared" si="1"/>
        <v>315.64999999999998</v>
      </c>
      <c r="M26" s="273">
        <f t="shared" si="2"/>
        <v>271.459</v>
      </c>
      <c r="N26" s="71">
        <f t="shared" si="3"/>
        <v>160.25</v>
      </c>
      <c r="O26" s="72">
        <f t="shared" si="4"/>
        <v>315.64999999999998</v>
      </c>
      <c r="P26" s="274">
        <f t="shared" si="5"/>
        <v>50582.912499999999</v>
      </c>
      <c r="Q26" s="291">
        <f t="shared" si="6"/>
        <v>171.94</v>
      </c>
    </row>
    <row r="27" spans="2:17" s="121" customFormat="1" ht="12" x14ac:dyDescent="0.2">
      <c r="B27" s="120"/>
      <c r="C27" s="56" t="s">
        <v>134</v>
      </c>
      <c r="D27" s="56" t="s">
        <v>96</v>
      </c>
      <c r="E27" s="57" t="s">
        <v>166</v>
      </c>
      <c r="F27" s="58" t="s">
        <v>167</v>
      </c>
      <c r="G27" s="59" t="s">
        <v>150</v>
      </c>
      <c r="H27" s="60">
        <v>47.82</v>
      </c>
      <c r="I27" s="61">
        <v>15.78</v>
      </c>
      <c r="J27" s="60">
        <v>754.6</v>
      </c>
      <c r="K27" s="68">
        <f t="shared" si="0"/>
        <v>0.26</v>
      </c>
      <c r="L27" s="69">
        <f t="shared" si="1"/>
        <v>15.78</v>
      </c>
      <c r="M27" s="273">
        <f t="shared" si="2"/>
        <v>4.1028000000000002</v>
      </c>
      <c r="N27" s="71">
        <f t="shared" si="3"/>
        <v>48.08</v>
      </c>
      <c r="O27" s="72">
        <f t="shared" si="4"/>
        <v>15.78</v>
      </c>
      <c r="P27" s="274">
        <f t="shared" si="5"/>
        <v>758.7023999999999</v>
      </c>
      <c r="Q27" s="291">
        <f t="shared" si="6"/>
        <v>51.59</v>
      </c>
    </row>
    <row r="28" spans="2:17" s="121" customFormat="1" ht="12" x14ac:dyDescent="0.2">
      <c r="B28" s="120"/>
      <c r="C28" s="56" t="s">
        <v>2</v>
      </c>
      <c r="D28" s="56" t="s">
        <v>96</v>
      </c>
      <c r="E28" s="57" t="s">
        <v>175</v>
      </c>
      <c r="F28" s="58" t="s">
        <v>176</v>
      </c>
      <c r="G28" s="59" t="s">
        <v>108</v>
      </c>
      <c r="H28" s="60">
        <v>472.15</v>
      </c>
      <c r="I28" s="61">
        <v>99.96</v>
      </c>
      <c r="J28" s="60">
        <v>47196.1</v>
      </c>
      <c r="K28" s="68">
        <f t="shared" si="0"/>
        <v>2.5499999999999998</v>
      </c>
      <c r="L28" s="69">
        <f t="shared" si="1"/>
        <v>99.96</v>
      </c>
      <c r="M28" s="273">
        <f t="shared" si="2"/>
        <v>254.89799999999997</v>
      </c>
      <c r="N28" s="71">
        <f t="shared" si="3"/>
        <v>474.7</v>
      </c>
      <c r="O28" s="72">
        <f t="shared" si="4"/>
        <v>99.96</v>
      </c>
      <c r="P28" s="274">
        <f t="shared" si="5"/>
        <v>47451.011999999995</v>
      </c>
      <c r="Q28" s="291">
        <f t="shared" si="6"/>
        <v>509.33</v>
      </c>
    </row>
    <row r="29" spans="2:17" s="121" customFormat="1" ht="12" x14ac:dyDescent="0.2">
      <c r="B29" s="120"/>
      <c r="C29" s="56" t="s">
        <v>141</v>
      </c>
      <c r="D29" s="56" t="s">
        <v>96</v>
      </c>
      <c r="E29" s="57" t="s">
        <v>181</v>
      </c>
      <c r="F29" s="58" t="s">
        <v>182</v>
      </c>
      <c r="G29" s="59" t="s">
        <v>108</v>
      </c>
      <c r="H29" s="60">
        <v>472.15</v>
      </c>
      <c r="I29" s="61">
        <v>149.94</v>
      </c>
      <c r="J29" s="60">
        <v>70794.2</v>
      </c>
      <c r="K29" s="68">
        <f t="shared" si="0"/>
        <v>2.5499999999999998</v>
      </c>
      <c r="L29" s="69">
        <f t="shared" si="1"/>
        <v>149.94</v>
      </c>
      <c r="M29" s="273">
        <f t="shared" si="2"/>
        <v>382.34699999999998</v>
      </c>
      <c r="N29" s="71">
        <f t="shared" si="3"/>
        <v>474.7</v>
      </c>
      <c r="O29" s="72">
        <f t="shared" si="4"/>
        <v>149.94</v>
      </c>
      <c r="P29" s="274">
        <f t="shared" si="5"/>
        <v>71176.517999999996</v>
      </c>
      <c r="Q29" s="291">
        <f t="shared" si="6"/>
        <v>509.33</v>
      </c>
    </row>
    <row r="30" spans="2:17" s="121" customFormat="1" ht="12" x14ac:dyDescent="0.2">
      <c r="B30" s="120"/>
      <c r="C30" s="56" t="s">
        <v>144</v>
      </c>
      <c r="D30" s="56" t="s">
        <v>96</v>
      </c>
      <c r="E30" s="57" t="s">
        <v>187</v>
      </c>
      <c r="F30" s="58" t="s">
        <v>188</v>
      </c>
      <c r="G30" s="59" t="s">
        <v>150</v>
      </c>
      <c r="H30" s="60">
        <v>401.72</v>
      </c>
      <c r="I30" s="61">
        <v>97.73</v>
      </c>
      <c r="J30" s="60">
        <v>39260.1</v>
      </c>
      <c r="K30" s="68">
        <f t="shared" si="0"/>
        <v>2.17</v>
      </c>
      <c r="L30" s="69">
        <f t="shared" si="1"/>
        <v>97.73</v>
      </c>
      <c r="M30" s="273">
        <f t="shared" si="2"/>
        <v>212.07410000000002</v>
      </c>
      <c r="N30" s="71">
        <f t="shared" si="3"/>
        <v>403.89000000000004</v>
      </c>
      <c r="O30" s="72">
        <f t="shared" si="4"/>
        <v>97.73</v>
      </c>
      <c r="P30" s="274">
        <f t="shared" si="5"/>
        <v>39472.169700000006</v>
      </c>
      <c r="Q30" s="291">
        <f t="shared" si="6"/>
        <v>433.35</v>
      </c>
    </row>
    <row r="31" spans="2:17" s="121" customFormat="1" ht="12" x14ac:dyDescent="0.2">
      <c r="B31" s="120"/>
      <c r="C31" s="56" t="s">
        <v>147</v>
      </c>
      <c r="D31" s="56" t="s">
        <v>96</v>
      </c>
      <c r="E31" s="57" t="s">
        <v>190</v>
      </c>
      <c r="F31" s="58" t="s">
        <v>191</v>
      </c>
      <c r="G31" s="59" t="s">
        <v>150</v>
      </c>
      <c r="H31" s="60">
        <v>86.45</v>
      </c>
      <c r="I31" s="61">
        <v>247.39</v>
      </c>
      <c r="J31" s="60">
        <v>21386.9</v>
      </c>
      <c r="K31" s="68">
        <f t="shared" si="0"/>
        <v>0.47</v>
      </c>
      <c r="L31" s="69">
        <f t="shared" si="1"/>
        <v>247.39</v>
      </c>
      <c r="M31" s="273">
        <f t="shared" si="2"/>
        <v>116.27329999999999</v>
      </c>
      <c r="N31" s="71">
        <f t="shared" si="3"/>
        <v>86.92</v>
      </c>
      <c r="O31" s="72">
        <f t="shared" si="4"/>
        <v>247.39</v>
      </c>
      <c r="P31" s="274">
        <f t="shared" si="5"/>
        <v>21503.138800000001</v>
      </c>
      <c r="Q31" s="291">
        <f t="shared" si="6"/>
        <v>93.26</v>
      </c>
    </row>
    <row r="32" spans="2:17" s="121" customFormat="1" ht="12" x14ac:dyDescent="0.2">
      <c r="B32" s="120"/>
      <c r="C32" s="56" t="s">
        <v>151</v>
      </c>
      <c r="D32" s="56" t="s">
        <v>96</v>
      </c>
      <c r="E32" s="57" t="s">
        <v>193</v>
      </c>
      <c r="F32" s="58" t="s">
        <v>194</v>
      </c>
      <c r="G32" s="59" t="s">
        <v>150</v>
      </c>
      <c r="H32" s="60">
        <v>86.45</v>
      </c>
      <c r="I32" s="61">
        <v>44.72</v>
      </c>
      <c r="J32" s="60">
        <v>3866</v>
      </c>
      <c r="K32" s="68">
        <f t="shared" si="0"/>
        <v>0.47</v>
      </c>
      <c r="L32" s="69">
        <f t="shared" si="1"/>
        <v>44.72</v>
      </c>
      <c r="M32" s="273">
        <f t="shared" si="2"/>
        <v>21.0184</v>
      </c>
      <c r="N32" s="71">
        <f t="shared" si="3"/>
        <v>86.92</v>
      </c>
      <c r="O32" s="72">
        <f t="shared" si="4"/>
        <v>44.72</v>
      </c>
      <c r="P32" s="274">
        <f t="shared" si="5"/>
        <v>3887.0623999999998</v>
      </c>
      <c r="Q32" s="291">
        <f t="shared" si="6"/>
        <v>93.26</v>
      </c>
    </row>
    <row r="33" spans="2:19" s="121" customFormat="1" ht="12" x14ac:dyDescent="0.2">
      <c r="B33" s="120"/>
      <c r="C33" s="56" t="s">
        <v>154</v>
      </c>
      <c r="D33" s="56" t="s">
        <v>96</v>
      </c>
      <c r="E33" s="57" t="s">
        <v>196</v>
      </c>
      <c r="F33" s="58" t="s">
        <v>197</v>
      </c>
      <c r="G33" s="59" t="s">
        <v>150</v>
      </c>
      <c r="H33" s="60">
        <v>86.45</v>
      </c>
      <c r="I33" s="61">
        <v>11.84</v>
      </c>
      <c r="J33" s="60">
        <v>1023.6</v>
      </c>
      <c r="K33" s="68">
        <f t="shared" si="0"/>
        <v>0.47</v>
      </c>
      <c r="L33" s="69">
        <f t="shared" si="1"/>
        <v>11.84</v>
      </c>
      <c r="M33" s="273">
        <f t="shared" si="2"/>
        <v>5.5648</v>
      </c>
      <c r="N33" s="71">
        <f t="shared" si="3"/>
        <v>86.92</v>
      </c>
      <c r="O33" s="72">
        <f t="shared" si="4"/>
        <v>11.84</v>
      </c>
      <c r="P33" s="274">
        <f t="shared" si="5"/>
        <v>1029.1328000000001</v>
      </c>
      <c r="Q33" s="291">
        <f t="shared" si="6"/>
        <v>93.26</v>
      </c>
    </row>
    <row r="34" spans="2:19" s="121" customFormat="1" ht="12" x14ac:dyDescent="0.2">
      <c r="B34" s="120"/>
      <c r="C34" s="56" t="s">
        <v>1</v>
      </c>
      <c r="D34" s="56" t="s">
        <v>96</v>
      </c>
      <c r="E34" s="57" t="s">
        <v>199</v>
      </c>
      <c r="F34" s="58" t="s">
        <v>200</v>
      </c>
      <c r="G34" s="59" t="s">
        <v>201</v>
      </c>
      <c r="H34" s="60">
        <v>172.9</v>
      </c>
      <c r="I34" s="61">
        <v>116</v>
      </c>
      <c r="J34" s="60">
        <v>20056.400000000001</v>
      </c>
      <c r="K34" s="68">
        <f t="shared" si="0"/>
        <v>0.93</v>
      </c>
      <c r="L34" s="69">
        <f t="shared" si="1"/>
        <v>116</v>
      </c>
      <c r="M34" s="273">
        <f t="shared" si="2"/>
        <v>107.88000000000001</v>
      </c>
      <c r="N34" s="71">
        <f t="shared" si="3"/>
        <v>173.83</v>
      </c>
      <c r="O34" s="72">
        <f t="shared" si="4"/>
        <v>116</v>
      </c>
      <c r="P34" s="274">
        <f t="shared" si="5"/>
        <v>20164.280000000002</v>
      </c>
      <c r="Q34" s="291">
        <f t="shared" si="6"/>
        <v>186.52</v>
      </c>
    </row>
    <row r="35" spans="2:19" s="121" customFormat="1" ht="12" x14ac:dyDescent="0.2">
      <c r="B35" s="120"/>
      <c r="C35" s="56" t="s">
        <v>159</v>
      </c>
      <c r="D35" s="56" t="s">
        <v>96</v>
      </c>
      <c r="E35" s="57" t="s">
        <v>203</v>
      </c>
      <c r="F35" s="58" t="s">
        <v>204</v>
      </c>
      <c r="G35" s="59" t="s">
        <v>150</v>
      </c>
      <c r="H35" s="60">
        <v>157.26</v>
      </c>
      <c r="I35" s="61">
        <v>143.36000000000001</v>
      </c>
      <c r="J35" s="60">
        <v>22544.799999999999</v>
      </c>
      <c r="K35" s="68">
        <f t="shared" si="0"/>
        <v>0.85</v>
      </c>
      <c r="L35" s="69">
        <f t="shared" si="1"/>
        <v>143.36000000000001</v>
      </c>
      <c r="M35" s="273">
        <f t="shared" si="2"/>
        <v>121.85600000000001</v>
      </c>
      <c r="N35" s="71">
        <f t="shared" si="3"/>
        <v>158.10999999999999</v>
      </c>
      <c r="O35" s="72">
        <f t="shared" si="4"/>
        <v>143.36000000000001</v>
      </c>
      <c r="P35" s="274">
        <f t="shared" si="5"/>
        <v>22666.649600000001</v>
      </c>
      <c r="Q35" s="291">
        <f t="shared" si="6"/>
        <v>169.64</v>
      </c>
    </row>
    <row r="36" spans="2:19" s="121" customFormat="1" ht="12" x14ac:dyDescent="0.2">
      <c r="B36" s="120"/>
      <c r="C36" s="56" t="s">
        <v>162</v>
      </c>
      <c r="D36" s="56" t="s">
        <v>96</v>
      </c>
      <c r="E36" s="57" t="s">
        <v>206</v>
      </c>
      <c r="F36" s="58" t="s">
        <v>207</v>
      </c>
      <c r="G36" s="59" t="s">
        <v>150</v>
      </c>
      <c r="H36" s="60">
        <v>55.96</v>
      </c>
      <c r="I36" s="61">
        <v>318.27999999999997</v>
      </c>
      <c r="J36" s="60">
        <v>17810.900000000001</v>
      </c>
      <c r="K36" s="68">
        <f t="shared" si="0"/>
        <v>0.3</v>
      </c>
      <c r="L36" s="69">
        <f t="shared" si="1"/>
        <v>318.27999999999997</v>
      </c>
      <c r="M36" s="273">
        <f t="shared" si="2"/>
        <v>95.483999999999995</v>
      </c>
      <c r="N36" s="71">
        <f t="shared" si="3"/>
        <v>56.26</v>
      </c>
      <c r="O36" s="72">
        <f t="shared" si="4"/>
        <v>318.27999999999997</v>
      </c>
      <c r="P36" s="274">
        <f t="shared" si="5"/>
        <v>17906.432799999999</v>
      </c>
      <c r="Q36" s="291">
        <f t="shared" si="6"/>
        <v>60.37</v>
      </c>
    </row>
    <row r="37" spans="2:19" s="121" customFormat="1" ht="12" x14ac:dyDescent="0.2">
      <c r="B37" s="120"/>
      <c r="C37" s="73" t="s">
        <v>165</v>
      </c>
      <c r="D37" s="73" t="s">
        <v>209</v>
      </c>
      <c r="E37" s="74" t="s">
        <v>210</v>
      </c>
      <c r="F37" s="75" t="s">
        <v>211</v>
      </c>
      <c r="G37" s="76" t="s">
        <v>201</v>
      </c>
      <c r="H37" s="77">
        <v>111.92</v>
      </c>
      <c r="I37" s="78">
        <v>172.71</v>
      </c>
      <c r="J37" s="77">
        <v>19329.7</v>
      </c>
      <c r="K37" s="68">
        <f t="shared" si="0"/>
        <v>0.6</v>
      </c>
      <c r="L37" s="69">
        <f t="shared" si="1"/>
        <v>172.71</v>
      </c>
      <c r="M37" s="273">
        <f t="shared" si="2"/>
        <v>103.626</v>
      </c>
      <c r="N37" s="71">
        <f t="shared" si="3"/>
        <v>112.52</v>
      </c>
      <c r="O37" s="72">
        <f t="shared" si="4"/>
        <v>172.71</v>
      </c>
      <c r="P37" s="274">
        <f t="shared" si="5"/>
        <v>19433.3292</v>
      </c>
      <c r="Q37" s="291">
        <f t="shared" si="6"/>
        <v>120.73</v>
      </c>
    </row>
    <row r="38" spans="2:19" s="170" customFormat="1" ht="12.75" x14ac:dyDescent="0.2">
      <c r="B38" s="165"/>
      <c r="C38" s="252"/>
      <c r="D38" s="253" t="s">
        <v>4</v>
      </c>
      <c r="E38" s="254" t="s">
        <v>13</v>
      </c>
      <c r="F38" s="254" t="s">
        <v>222</v>
      </c>
      <c r="G38" s="252"/>
      <c r="H38" s="252"/>
      <c r="I38" s="255"/>
      <c r="J38" s="256">
        <f>+SUBTOTAL(9,J39:J40)</f>
        <v>3658</v>
      </c>
      <c r="K38" s="261"/>
      <c r="L38" s="262"/>
      <c r="M38" s="279">
        <f>SUM(M39:M40)</f>
        <v>19.73</v>
      </c>
      <c r="N38" s="280"/>
      <c r="O38" s="262"/>
      <c r="P38" s="279">
        <f>SUM(P39:P40)</f>
        <v>3677.672</v>
      </c>
      <c r="Q38" s="291">
        <f t="shared" si="6"/>
        <v>0</v>
      </c>
      <c r="R38" s="121"/>
    </row>
    <row r="39" spans="2:19" s="121" customFormat="1" ht="12" x14ac:dyDescent="0.2">
      <c r="B39" s="120"/>
      <c r="C39" s="56" t="s">
        <v>168</v>
      </c>
      <c r="D39" s="56" t="s">
        <v>96</v>
      </c>
      <c r="E39" s="57" t="s">
        <v>224</v>
      </c>
      <c r="F39" s="58" t="s">
        <v>225</v>
      </c>
      <c r="G39" s="59" t="s">
        <v>133</v>
      </c>
      <c r="H39" s="60">
        <v>92.7</v>
      </c>
      <c r="I39" s="61">
        <v>32.880000000000003</v>
      </c>
      <c r="J39" s="60">
        <v>3048</v>
      </c>
      <c r="K39" s="68">
        <f t="shared" si="0"/>
        <v>0.5</v>
      </c>
      <c r="L39" s="69">
        <f t="shared" si="1"/>
        <v>32.880000000000003</v>
      </c>
      <c r="M39" s="273">
        <f t="shared" si="2"/>
        <v>16.440000000000001</v>
      </c>
      <c r="N39" s="71">
        <f t="shared" si="3"/>
        <v>93.2</v>
      </c>
      <c r="O39" s="72">
        <f t="shared" si="4"/>
        <v>32.880000000000003</v>
      </c>
      <c r="P39" s="274">
        <f t="shared" si="5"/>
        <v>3064.4160000000002</v>
      </c>
      <c r="Q39" s="291">
        <f t="shared" si="6"/>
        <v>100</v>
      </c>
    </row>
    <row r="40" spans="2:19" s="121" customFormat="1" ht="12" x14ac:dyDescent="0.2">
      <c r="B40" s="120"/>
      <c r="C40" s="56" t="s">
        <v>171</v>
      </c>
      <c r="D40" s="56" t="s">
        <v>96</v>
      </c>
      <c r="E40" s="57" t="s">
        <v>227</v>
      </c>
      <c r="F40" s="58" t="s">
        <v>228</v>
      </c>
      <c r="G40" s="59" t="s">
        <v>133</v>
      </c>
      <c r="H40" s="60">
        <v>92.7</v>
      </c>
      <c r="I40" s="61">
        <v>6.58</v>
      </c>
      <c r="J40" s="60">
        <v>610</v>
      </c>
      <c r="K40" s="68">
        <f t="shared" si="0"/>
        <v>0.5</v>
      </c>
      <c r="L40" s="69">
        <f t="shared" si="1"/>
        <v>6.58</v>
      </c>
      <c r="M40" s="273">
        <f t="shared" si="2"/>
        <v>3.29</v>
      </c>
      <c r="N40" s="71">
        <f t="shared" si="3"/>
        <v>93.2</v>
      </c>
      <c r="O40" s="72">
        <f t="shared" si="4"/>
        <v>6.58</v>
      </c>
      <c r="P40" s="274">
        <f t="shared" si="5"/>
        <v>613.25599999999997</v>
      </c>
      <c r="Q40" s="291">
        <f t="shared" si="6"/>
        <v>100</v>
      </c>
    </row>
    <row r="41" spans="2:19" s="170" customFormat="1" ht="12.75" x14ac:dyDescent="0.2">
      <c r="B41" s="165"/>
      <c r="C41" s="252"/>
      <c r="D41" s="253" t="s">
        <v>4</v>
      </c>
      <c r="E41" s="254" t="s">
        <v>100</v>
      </c>
      <c r="F41" s="254" t="s">
        <v>229</v>
      </c>
      <c r="G41" s="252"/>
      <c r="H41" s="252"/>
      <c r="I41" s="255"/>
      <c r="J41" s="256">
        <f>+SUBTOTAL(9,J42:J45)</f>
        <v>47188.600000000006</v>
      </c>
      <c r="K41" s="261"/>
      <c r="L41" s="262"/>
      <c r="M41" s="279">
        <f>SUM(M42:M45)</f>
        <v>258.6225</v>
      </c>
      <c r="N41" s="280"/>
      <c r="O41" s="262"/>
      <c r="P41" s="279">
        <f>SUM(P42:P45)</f>
        <v>47447.263599999998</v>
      </c>
      <c r="Q41" s="291">
        <f t="shared" si="6"/>
        <v>0</v>
      </c>
      <c r="R41" s="121"/>
    </row>
    <row r="42" spans="2:19" s="121" customFormat="1" ht="12" x14ac:dyDescent="0.2">
      <c r="B42" s="120"/>
      <c r="C42" s="56" t="s">
        <v>174</v>
      </c>
      <c r="D42" s="56" t="s">
        <v>96</v>
      </c>
      <c r="E42" s="57" t="s">
        <v>231</v>
      </c>
      <c r="F42" s="58" t="s">
        <v>232</v>
      </c>
      <c r="G42" s="59" t="s">
        <v>99</v>
      </c>
      <c r="H42" s="60">
        <v>1</v>
      </c>
      <c r="I42" s="61">
        <v>122.32</v>
      </c>
      <c r="J42" s="60">
        <v>122.3</v>
      </c>
      <c r="K42" s="68">
        <v>0</v>
      </c>
      <c r="L42" s="69">
        <f t="shared" si="1"/>
        <v>122.32</v>
      </c>
      <c r="M42" s="273">
        <f t="shared" si="2"/>
        <v>0</v>
      </c>
      <c r="N42" s="71">
        <f t="shared" si="3"/>
        <v>1</v>
      </c>
      <c r="O42" s="72">
        <f t="shared" si="4"/>
        <v>122.32</v>
      </c>
      <c r="P42" s="274">
        <f t="shared" si="5"/>
        <v>122.32</v>
      </c>
      <c r="Q42" s="291">
        <f t="shared" si="6"/>
        <v>1.08</v>
      </c>
    </row>
    <row r="43" spans="2:19" s="121" customFormat="1" ht="12" x14ac:dyDescent="0.2">
      <c r="B43" s="120"/>
      <c r="C43" s="73" t="s">
        <v>177</v>
      </c>
      <c r="D43" s="73" t="s">
        <v>209</v>
      </c>
      <c r="E43" s="74" t="s">
        <v>237</v>
      </c>
      <c r="F43" s="75" t="s">
        <v>238</v>
      </c>
      <c r="G43" s="76" t="s">
        <v>99</v>
      </c>
      <c r="H43" s="77">
        <v>1</v>
      </c>
      <c r="I43" s="78">
        <v>313.02</v>
      </c>
      <c r="J43" s="77">
        <v>313</v>
      </c>
      <c r="K43" s="68">
        <v>0</v>
      </c>
      <c r="L43" s="69">
        <f t="shared" si="1"/>
        <v>313.02</v>
      </c>
      <c r="M43" s="273">
        <f t="shared" si="2"/>
        <v>0</v>
      </c>
      <c r="N43" s="71">
        <f t="shared" si="3"/>
        <v>1</v>
      </c>
      <c r="O43" s="72">
        <f t="shared" si="4"/>
        <v>313.02</v>
      </c>
      <c r="P43" s="274">
        <f t="shared" si="5"/>
        <v>313.02</v>
      </c>
      <c r="Q43" s="291">
        <f t="shared" si="6"/>
        <v>1.08</v>
      </c>
    </row>
    <row r="44" spans="2:19" s="121" customFormat="1" ht="12" x14ac:dyDescent="0.2">
      <c r="B44" s="120"/>
      <c r="C44" s="56" t="s">
        <v>180</v>
      </c>
      <c r="D44" s="56" t="s">
        <v>96</v>
      </c>
      <c r="E44" s="57" t="s">
        <v>252</v>
      </c>
      <c r="F44" s="58" t="s">
        <v>253</v>
      </c>
      <c r="G44" s="59" t="s">
        <v>150</v>
      </c>
      <c r="H44" s="60">
        <v>13.42</v>
      </c>
      <c r="I44" s="61">
        <v>3239.16</v>
      </c>
      <c r="J44" s="60">
        <v>43469.5</v>
      </c>
      <c r="K44" s="68">
        <f t="shared" ref="K44:K45" si="7">ROUND(100.5/100*Q44-Q44,2)</f>
        <v>7.0000000000000007E-2</v>
      </c>
      <c r="L44" s="69">
        <f t="shared" si="1"/>
        <v>3239.16</v>
      </c>
      <c r="M44" s="273">
        <f t="shared" si="2"/>
        <v>226.74120000000002</v>
      </c>
      <c r="N44" s="71">
        <f t="shared" si="3"/>
        <v>13.49</v>
      </c>
      <c r="O44" s="72">
        <f t="shared" si="4"/>
        <v>3239.16</v>
      </c>
      <c r="P44" s="274">
        <f t="shared" si="5"/>
        <v>43696.268400000001</v>
      </c>
      <c r="Q44" s="291">
        <f t="shared" si="6"/>
        <v>14.48</v>
      </c>
    </row>
    <row r="45" spans="2:19" s="121" customFormat="1" ht="12" x14ac:dyDescent="0.2">
      <c r="B45" s="120"/>
      <c r="C45" s="56" t="s">
        <v>183</v>
      </c>
      <c r="D45" s="56" t="s">
        <v>96</v>
      </c>
      <c r="E45" s="57" t="s">
        <v>255</v>
      </c>
      <c r="F45" s="58" t="s">
        <v>256</v>
      </c>
      <c r="G45" s="59" t="s">
        <v>150</v>
      </c>
      <c r="H45" s="60">
        <v>1.03</v>
      </c>
      <c r="I45" s="61">
        <v>3188.13</v>
      </c>
      <c r="J45" s="60">
        <v>3283.8</v>
      </c>
      <c r="K45" s="68">
        <f t="shared" si="7"/>
        <v>0.01</v>
      </c>
      <c r="L45" s="69">
        <f t="shared" si="1"/>
        <v>3188.13</v>
      </c>
      <c r="M45" s="273">
        <f t="shared" si="2"/>
        <v>31.881300000000003</v>
      </c>
      <c r="N45" s="71">
        <f t="shared" si="3"/>
        <v>1.04</v>
      </c>
      <c r="O45" s="72">
        <f t="shared" si="4"/>
        <v>3188.13</v>
      </c>
      <c r="P45" s="274">
        <f t="shared" si="5"/>
        <v>3315.6552000000001</v>
      </c>
      <c r="Q45" s="291">
        <f t="shared" si="6"/>
        <v>1.1100000000000001</v>
      </c>
      <c r="R45" s="186" t="s">
        <v>1167</v>
      </c>
      <c r="S45" s="121" t="s">
        <v>1171</v>
      </c>
    </row>
    <row r="46" spans="2:19" s="170" customFormat="1" ht="12.75" x14ac:dyDescent="0.2">
      <c r="B46" s="165"/>
      <c r="C46" s="252"/>
      <c r="D46" s="253" t="s">
        <v>4</v>
      </c>
      <c r="E46" s="254" t="s">
        <v>105</v>
      </c>
      <c r="F46" s="254" t="s">
        <v>257</v>
      </c>
      <c r="G46" s="252"/>
      <c r="H46" s="252"/>
      <c r="I46" s="255"/>
      <c r="J46" s="256">
        <f>+SUBTOTAL(9,J47:J54)</f>
        <v>183476.80000000005</v>
      </c>
      <c r="K46" s="261"/>
      <c r="L46" s="262"/>
      <c r="M46" s="279">
        <f>SUM(M47:M54)</f>
        <v>0</v>
      </c>
      <c r="N46" s="280"/>
      <c r="O46" s="262"/>
      <c r="P46" s="279">
        <f>SUM(P47:P54)</f>
        <v>183476.75799999997</v>
      </c>
      <c r="Q46" s="291">
        <f t="shared" si="6"/>
        <v>0</v>
      </c>
      <c r="R46" s="121"/>
      <c r="S46" s="170" t="s">
        <v>927</v>
      </c>
    </row>
    <row r="47" spans="2:19" s="121" customFormat="1" ht="12" x14ac:dyDescent="0.2">
      <c r="B47" s="120"/>
      <c r="C47" s="56" t="s">
        <v>186</v>
      </c>
      <c r="D47" s="56" t="s">
        <v>96</v>
      </c>
      <c r="E47" s="57" t="s">
        <v>259</v>
      </c>
      <c r="F47" s="58" t="s">
        <v>260</v>
      </c>
      <c r="G47" s="59" t="s">
        <v>108</v>
      </c>
      <c r="H47" s="60">
        <v>28.05</v>
      </c>
      <c r="I47" s="61">
        <v>155.66999999999999</v>
      </c>
      <c r="J47" s="60">
        <v>4366.5</v>
      </c>
      <c r="K47" s="68">
        <v>0</v>
      </c>
      <c r="L47" s="69">
        <f t="shared" si="1"/>
        <v>155.66999999999999</v>
      </c>
      <c r="M47" s="273">
        <f t="shared" si="2"/>
        <v>0</v>
      </c>
      <c r="N47" s="71">
        <f t="shared" si="3"/>
        <v>28.05</v>
      </c>
      <c r="O47" s="72">
        <f t="shared" si="4"/>
        <v>155.66999999999999</v>
      </c>
      <c r="P47" s="274">
        <f t="shared" si="5"/>
        <v>4366.5434999999998</v>
      </c>
      <c r="Q47" s="291">
        <f t="shared" si="6"/>
        <v>30.26</v>
      </c>
    </row>
    <row r="48" spans="2:19" s="121" customFormat="1" ht="12" x14ac:dyDescent="0.2">
      <c r="B48" s="120"/>
      <c r="C48" s="56" t="s">
        <v>189</v>
      </c>
      <c r="D48" s="56" t="s">
        <v>96</v>
      </c>
      <c r="E48" s="57" t="s">
        <v>262</v>
      </c>
      <c r="F48" s="58" t="s">
        <v>263</v>
      </c>
      <c r="G48" s="59" t="s">
        <v>108</v>
      </c>
      <c r="H48" s="60">
        <v>81.95</v>
      </c>
      <c r="I48" s="61">
        <v>302.54000000000002</v>
      </c>
      <c r="J48" s="60">
        <v>24793.200000000001</v>
      </c>
      <c r="K48" s="68">
        <v>0</v>
      </c>
      <c r="L48" s="69">
        <f t="shared" si="1"/>
        <v>302.54000000000002</v>
      </c>
      <c r="M48" s="273">
        <f t="shared" si="2"/>
        <v>0</v>
      </c>
      <c r="N48" s="71">
        <f t="shared" si="3"/>
        <v>81.95</v>
      </c>
      <c r="O48" s="72">
        <f t="shared" si="4"/>
        <v>302.54000000000002</v>
      </c>
      <c r="P48" s="274">
        <f t="shared" si="5"/>
        <v>24793.153000000002</v>
      </c>
      <c r="Q48" s="291">
        <f t="shared" si="6"/>
        <v>88.4</v>
      </c>
    </row>
    <row r="49" spans="2:18" s="121" customFormat="1" ht="12" x14ac:dyDescent="0.2">
      <c r="B49" s="120"/>
      <c r="C49" s="56" t="s">
        <v>192</v>
      </c>
      <c r="D49" s="56" t="s">
        <v>96</v>
      </c>
      <c r="E49" s="57" t="s">
        <v>268</v>
      </c>
      <c r="F49" s="58" t="s">
        <v>269</v>
      </c>
      <c r="G49" s="59" t="s">
        <v>108</v>
      </c>
      <c r="H49" s="60">
        <v>81.95</v>
      </c>
      <c r="I49" s="61">
        <v>14.18</v>
      </c>
      <c r="J49" s="60">
        <v>1162.0999999999999</v>
      </c>
      <c r="K49" s="68">
        <v>0</v>
      </c>
      <c r="L49" s="69">
        <f t="shared" si="1"/>
        <v>14.18</v>
      </c>
      <c r="M49" s="273">
        <f t="shared" si="2"/>
        <v>0</v>
      </c>
      <c r="N49" s="71">
        <f t="shared" si="3"/>
        <v>81.95</v>
      </c>
      <c r="O49" s="72">
        <f t="shared" si="4"/>
        <v>14.18</v>
      </c>
      <c r="P49" s="274">
        <f t="shared" si="5"/>
        <v>1162.0509999999999</v>
      </c>
      <c r="Q49" s="291">
        <f t="shared" si="6"/>
        <v>88.4</v>
      </c>
    </row>
    <row r="50" spans="2:18" s="121" customFormat="1" ht="12" x14ac:dyDescent="0.2">
      <c r="B50" s="120"/>
      <c r="C50" s="56" t="s">
        <v>195</v>
      </c>
      <c r="D50" s="56" t="s">
        <v>96</v>
      </c>
      <c r="E50" s="57" t="s">
        <v>271</v>
      </c>
      <c r="F50" s="58" t="s">
        <v>272</v>
      </c>
      <c r="G50" s="59" t="s">
        <v>108</v>
      </c>
      <c r="H50" s="60">
        <v>156.44999999999999</v>
      </c>
      <c r="I50" s="61">
        <v>20.62</v>
      </c>
      <c r="J50" s="60">
        <v>3226</v>
      </c>
      <c r="K50" s="68">
        <v>0</v>
      </c>
      <c r="L50" s="69">
        <f t="shared" si="1"/>
        <v>20.62</v>
      </c>
      <c r="M50" s="273">
        <f t="shared" si="2"/>
        <v>0</v>
      </c>
      <c r="N50" s="71">
        <f t="shared" si="3"/>
        <v>156.44999999999999</v>
      </c>
      <c r="O50" s="72">
        <f t="shared" si="4"/>
        <v>20.62</v>
      </c>
      <c r="P50" s="274">
        <f t="shared" si="5"/>
        <v>3225.9989999999998</v>
      </c>
      <c r="Q50" s="291">
        <f t="shared" si="6"/>
        <v>168.77</v>
      </c>
    </row>
    <row r="51" spans="2:18" s="121" customFormat="1" ht="12" x14ac:dyDescent="0.2">
      <c r="B51" s="120"/>
      <c r="C51" s="56" t="s">
        <v>198</v>
      </c>
      <c r="D51" s="56" t="s">
        <v>96</v>
      </c>
      <c r="E51" s="57" t="s">
        <v>274</v>
      </c>
      <c r="F51" s="58" t="s">
        <v>275</v>
      </c>
      <c r="G51" s="59" t="s">
        <v>108</v>
      </c>
      <c r="H51" s="60">
        <v>156.44999999999999</v>
      </c>
      <c r="I51" s="61">
        <v>396.71</v>
      </c>
      <c r="J51" s="60">
        <v>62065.3</v>
      </c>
      <c r="K51" s="68">
        <v>0</v>
      </c>
      <c r="L51" s="69">
        <f t="shared" si="1"/>
        <v>396.71</v>
      </c>
      <c r="M51" s="273">
        <f t="shared" si="2"/>
        <v>0</v>
      </c>
      <c r="N51" s="71">
        <f t="shared" si="3"/>
        <v>156.44999999999999</v>
      </c>
      <c r="O51" s="72">
        <f t="shared" si="4"/>
        <v>396.71</v>
      </c>
      <c r="P51" s="274">
        <f t="shared" si="5"/>
        <v>62065.27949999999</v>
      </c>
      <c r="Q51" s="291">
        <f t="shared" si="6"/>
        <v>168.77</v>
      </c>
    </row>
    <row r="52" spans="2:18" s="121" customFormat="1" ht="12" x14ac:dyDescent="0.2">
      <c r="B52" s="120"/>
      <c r="C52" s="56" t="s">
        <v>202</v>
      </c>
      <c r="D52" s="56" t="s">
        <v>96</v>
      </c>
      <c r="E52" s="57" t="s">
        <v>277</v>
      </c>
      <c r="F52" s="58" t="s">
        <v>278</v>
      </c>
      <c r="G52" s="59" t="s">
        <v>108</v>
      </c>
      <c r="H52" s="60">
        <v>81.95</v>
      </c>
      <c r="I52" s="61">
        <v>559.51</v>
      </c>
      <c r="J52" s="60">
        <v>45851.8</v>
      </c>
      <c r="K52" s="68">
        <v>0</v>
      </c>
      <c r="L52" s="69">
        <f t="shared" si="1"/>
        <v>559.51</v>
      </c>
      <c r="M52" s="273">
        <f t="shared" si="2"/>
        <v>0</v>
      </c>
      <c r="N52" s="71">
        <f t="shared" si="3"/>
        <v>81.95</v>
      </c>
      <c r="O52" s="72">
        <f t="shared" si="4"/>
        <v>559.51</v>
      </c>
      <c r="P52" s="274">
        <f t="shared" si="5"/>
        <v>45851.844499999999</v>
      </c>
      <c r="Q52" s="291">
        <f t="shared" si="6"/>
        <v>88.4</v>
      </c>
    </row>
    <row r="53" spans="2:18" s="121" customFormat="1" ht="12" x14ac:dyDescent="0.2">
      <c r="B53" s="120"/>
      <c r="C53" s="56" t="s">
        <v>205</v>
      </c>
      <c r="D53" s="56" t="s">
        <v>96</v>
      </c>
      <c r="E53" s="57" t="s">
        <v>283</v>
      </c>
      <c r="F53" s="58" t="s">
        <v>284</v>
      </c>
      <c r="G53" s="59" t="s">
        <v>108</v>
      </c>
      <c r="H53" s="60">
        <v>28.05</v>
      </c>
      <c r="I53" s="61">
        <v>745.05</v>
      </c>
      <c r="J53" s="60">
        <v>20898.7</v>
      </c>
      <c r="K53" s="68">
        <v>0</v>
      </c>
      <c r="L53" s="69">
        <f t="shared" si="1"/>
        <v>745.05</v>
      </c>
      <c r="M53" s="273">
        <f t="shared" si="2"/>
        <v>0</v>
      </c>
      <c r="N53" s="71">
        <f t="shared" si="3"/>
        <v>28.05</v>
      </c>
      <c r="O53" s="72">
        <f t="shared" si="4"/>
        <v>745.05</v>
      </c>
      <c r="P53" s="274">
        <f t="shared" si="5"/>
        <v>20898.6525</v>
      </c>
      <c r="Q53" s="291">
        <f t="shared" si="6"/>
        <v>30.26</v>
      </c>
    </row>
    <row r="54" spans="2:18" s="121" customFormat="1" ht="12" x14ac:dyDescent="0.2">
      <c r="B54" s="120"/>
      <c r="C54" s="73" t="s">
        <v>208</v>
      </c>
      <c r="D54" s="73" t="s">
        <v>209</v>
      </c>
      <c r="E54" s="74" t="s">
        <v>286</v>
      </c>
      <c r="F54" s="75" t="s">
        <v>287</v>
      </c>
      <c r="G54" s="76" t="s">
        <v>201</v>
      </c>
      <c r="H54" s="77">
        <v>5.61</v>
      </c>
      <c r="I54" s="78">
        <v>3763.5</v>
      </c>
      <c r="J54" s="77">
        <v>21113.200000000001</v>
      </c>
      <c r="K54" s="68">
        <v>0</v>
      </c>
      <c r="L54" s="69">
        <f t="shared" si="1"/>
        <v>3763.5</v>
      </c>
      <c r="M54" s="273">
        <f t="shared" si="2"/>
        <v>0</v>
      </c>
      <c r="N54" s="71">
        <f t="shared" si="3"/>
        <v>5.61</v>
      </c>
      <c r="O54" s="72">
        <f t="shared" si="4"/>
        <v>3763.5</v>
      </c>
      <c r="P54" s="274">
        <f t="shared" si="5"/>
        <v>21113.235000000001</v>
      </c>
      <c r="Q54" s="291">
        <f t="shared" si="6"/>
        <v>6.05</v>
      </c>
    </row>
    <row r="55" spans="2:18" s="170" customFormat="1" ht="12.75" x14ac:dyDescent="0.2">
      <c r="B55" s="165"/>
      <c r="C55" s="252"/>
      <c r="D55" s="253" t="s">
        <v>4</v>
      </c>
      <c r="E55" s="254" t="s">
        <v>115</v>
      </c>
      <c r="F55" s="254" t="s">
        <v>288</v>
      </c>
      <c r="G55" s="252"/>
      <c r="H55" s="252"/>
      <c r="I55" s="255"/>
      <c r="J55" s="256">
        <f>+SUBTOTAL(9,J56:J75)</f>
        <v>304919.5</v>
      </c>
      <c r="K55" s="261"/>
      <c r="L55" s="262"/>
      <c r="M55" s="279">
        <f>SUM(M56:M75)</f>
        <v>838.85</v>
      </c>
      <c r="N55" s="280"/>
      <c r="O55" s="262"/>
      <c r="P55" s="279">
        <f>SUM(P56:P75)</f>
        <v>305758.25570000004</v>
      </c>
      <c r="Q55" s="291">
        <f t="shared" si="6"/>
        <v>0</v>
      </c>
      <c r="R55" s="121"/>
    </row>
    <row r="56" spans="2:18" s="121" customFormat="1" ht="12" x14ac:dyDescent="0.2">
      <c r="B56" s="120"/>
      <c r="C56" s="56" t="s">
        <v>212</v>
      </c>
      <c r="D56" s="56" t="s">
        <v>96</v>
      </c>
      <c r="E56" s="57" t="s">
        <v>296</v>
      </c>
      <c r="F56" s="58" t="s">
        <v>297</v>
      </c>
      <c r="G56" s="59" t="s">
        <v>133</v>
      </c>
      <c r="H56" s="60">
        <v>92.7</v>
      </c>
      <c r="I56" s="61">
        <v>552.39</v>
      </c>
      <c r="J56" s="60">
        <v>51206.6</v>
      </c>
      <c r="K56" s="68">
        <f t="shared" ref="K56:K57" si="8">ROUND(100.5/100*Q56-Q56,2)</f>
        <v>0.5</v>
      </c>
      <c r="L56" s="69">
        <f t="shared" si="1"/>
        <v>552.39</v>
      </c>
      <c r="M56" s="273">
        <f t="shared" si="2"/>
        <v>276.19499999999999</v>
      </c>
      <c r="N56" s="71">
        <f t="shared" si="3"/>
        <v>93.2</v>
      </c>
      <c r="O56" s="72">
        <f t="shared" si="4"/>
        <v>552.39</v>
      </c>
      <c r="P56" s="274">
        <f t="shared" si="5"/>
        <v>51482.748</v>
      </c>
      <c r="Q56" s="291">
        <f t="shared" si="6"/>
        <v>100</v>
      </c>
    </row>
    <row r="57" spans="2:18" s="121" customFormat="1" ht="12" x14ac:dyDescent="0.2">
      <c r="B57" s="120"/>
      <c r="C57" s="73" t="s">
        <v>215</v>
      </c>
      <c r="D57" s="73" t="s">
        <v>209</v>
      </c>
      <c r="E57" s="74" t="s">
        <v>299</v>
      </c>
      <c r="F57" s="75" t="s">
        <v>300</v>
      </c>
      <c r="G57" s="76" t="s">
        <v>133</v>
      </c>
      <c r="H57" s="77">
        <v>92.7</v>
      </c>
      <c r="I57" s="78">
        <v>1060.07</v>
      </c>
      <c r="J57" s="77">
        <v>98268.5</v>
      </c>
      <c r="K57" s="68">
        <f t="shared" si="8"/>
        <v>0.5</v>
      </c>
      <c r="L57" s="69">
        <f t="shared" si="1"/>
        <v>1060.07</v>
      </c>
      <c r="M57" s="273">
        <f t="shared" si="2"/>
        <v>530.03499999999997</v>
      </c>
      <c r="N57" s="71">
        <f t="shared" si="3"/>
        <v>93.2</v>
      </c>
      <c r="O57" s="72">
        <f t="shared" si="4"/>
        <v>1060.07</v>
      </c>
      <c r="P57" s="274">
        <f t="shared" si="5"/>
        <v>98798.52399999999</v>
      </c>
      <c r="Q57" s="291">
        <f t="shared" si="6"/>
        <v>100</v>
      </c>
    </row>
    <row r="58" spans="2:18" s="121" customFormat="1" ht="12" x14ac:dyDescent="0.2">
      <c r="B58" s="120"/>
      <c r="C58" s="73" t="s">
        <v>219</v>
      </c>
      <c r="D58" s="73" t="s">
        <v>209</v>
      </c>
      <c r="E58" s="74" t="s">
        <v>302</v>
      </c>
      <c r="F58" s="75" t="s">
        <v>303</v>
      </c>
      <c r="G58" s="76" t="s">
        <v>99</v>
      </c>
      <c r="H58" s="77">
        <v>8</v>
      </c>
      <c r="I58" s="78">
        <v>739.15</v>
      </c>
      <c r="J58" s="77">
        <v>5913.2</v>
      </c>
      <c r="K58" s="68">
        <v>0</v>
      </c>
      <c r="L58" s="69">
        <f t="shared" si="1"/>
        <v>739.15</v>
      </c>
      <c r="M58" s="273">
        <f t="shared" si="2"/>
        <v>0</v>
      </c>
      <c r="N58" s="71">
        <f t="shared" si="3"/>
        <v>8</v>
      </c>
      <c r="O58" s="72">
        <f t="shared" si="4"/>
        <v>739.15</v>
      </c>
      <c r="P58" s="274">
        <f t="shared" si="5"/>
        <v>5913.2</v>
      </c>
      <c r="Q58" s="291">
        <f t="shared" si="6"/>
        <v>8.6300000000000008</v>
      </c>
    </row>
    <row r="59" spans="2:18" s="121" customFormat="1" ht="12" x14ac:dyDescent="0.2">
      <c r="B59" s="120"/>
      <c r="C59" s="56" t="s">
        <v>223</v>
      </c>
      <c r="D59" s="56" t="s">
        <v>96</v>
      </c>
      <c r="E59" s="57" t="s">
        <v>320</v>
      </c>
      <c r="F59" s="58" t="s">
        <v>321</v>
      </c>
      <c r="G59" s="59" t="s">
        <v>99</v>
      </c>
      <c r="H59" s="60">
        <v>4</v>
      </c>
      <c r="I59" s="61">
        <v>260.41000000000003</v>
      </c>
      <c r="J59" s="60">
        <v>1041.5999999999999</v>
      </c>
      <c r="K59" s="68">
        <v>0</v>
      </c>
      <c r="L59" s="69">
        <f t="shared" si="1"/>
        <v>260.41000000000003</v>
      </c>
      <c r="M59" s="273">
        <f t="shared" si="2"/>
        <v>0</v>
      </c>
      <c r="N59" s="71">
        <f t="shared" si="3"/>
        <v>4</v>
      </c>
      <c r="O59" s="72">
        <f t="shared" si="4"/>
        <v>260.41000000000003</v>
      </c>
      <c r="P59" s="274">
        <f t="shared" si="5"/>
        <v>1041.6400000000001</v>
      </c>
      <c r="Q59" s="291">
        <f t="shared" si="6"/>
        <v>4.3099999999999996</v>
      </c>
    </row>
    <row r="60" spans="2:18" s="121" customFormat="1" ht="12" x14ac:dyDescent="0.2">
      <c r="B60" s="120"/>
      <c r="C60" s="73" t="s">
        <v>226</v>
      </c>
      <c r="D60" s="73" t="s">
        <v>209</v>
      </c>
      <c r="E60" s="74" t="s">
        <v>326</v>
      </c>
      <c r="F60" s="75" t="s">
        <v>327</v>
      </c>
      <c r="G60" s="76" t="s">
        <v>99</v>
      </c>
      <c r="H60" s="77">
        <v>4.0599999999999996</v>
      </c>
      <c r="I60" s="78">
        <v>1801.85</v>
      </c>
      <c r="J60" s="77">
        <v>7315.5</v>
      </c>
      <c r="K60" s="68">
        <v>0</v>
      </c>
      <c r="L60" s="69">
        <f t="shared" si="1"/>
        <v>1801.85</v>
      </c>
      <c r="M60" s="273">
        <f t="shared" si="2"/>
        <v>0</v>
      </c>
      <c r="N60" s="71">
        <f t="shared" si="3"/>
        <v>4.0599999999999996</v>
      </c>
      <c r="O60" s="72">
        <f t="shared" si="4"/>
        <v>1801.85</v>
      </c>
      <c r="P60" s="274">
        <f t="shared" si="5"/>
        <v>7315.5109999999986</v>
      </c>
      <c r="Q60" s="291">
        <f t="shared" si="6"/>
        <v>4.38</v>
      </c>
    </row>
    <row r="61" spans="2:18" s="121" customFormat="1" ht="12" x14ac:dyDescent="0.2">
      <c r="B61" s="120"/>
      <c r="C61" s="56" t="s">
        <v>230</v>
      </c>
      <c r="D61" s="56" t="s">
        <v>96</v>
      </c>
      <c r="E61" s="57" t="s">
        <v>329</v>
      </c>
      <c r="F61" s="58" t="s">
        <v>330</v>
      </c>
      <c r="G61" s="59" t="s">
        <v>99</v>
      </c>
      <c r="H61" s="60">
        <v>7</v>
      </c>
      <c r="I61" s="61">
        <v>219.64</v>
      </c>
      <c r="J61" s="60">
        <v>1537.5</v>
      </c>
      <c r="K61" s="68">
        <v>0</v>
      </c>
      <c r="L61" s="69">
        <f t="shared" si="1"/>
        <v>219.64</v>
      </c>
      <c r="M61" s="273">
        <f t="shared" si="2"/>
        <v>0</v>
      </c>
      <c r="N61" s="71">
        <f t="shared" si="3"/>
        <v>7</v>
      </c>
      <c r="O61" s="72">
        <f t="shared" si="4"/>
        <v>219.64</v>
      </c>
      <c r="P61" s="274">
        <f t="shared" si="5"/>
        <v>1537.48</v>
      </c>
      <c r="Q61" s="291">
        <f t="shared" si="6"/>
        <v>7.55</v>
      </c>
    </row>
    <row r="62" spans="2:18" s="121" customFormat="1" ht="12" x14ac:dyDescent="0.2">
      <c r="B62" s="120"/>
      <c r="C62" s="73" t="s">
        <v>233</v>
      </c>
      <c r="D62" s="73" t="s">
        <v>209</v>
      </c>
      <c r="E62" s="74" t="s">
        <v>332</v>
      </c>
      <c r="F62" s="75" t="s">
        <v>333</v>
      </c>
      <c r="G62" s="76" t="s">
        <v>99</v>
      </c>
      <c r="H62" s="77">
        <v>3.05</v>
      </c>
      <c r="I62" s="78">
        <v>1129.77</v>
      </c>
      <c r="J62" s="77">
        <v>3445.8</v>
      </c>
      <c r="K62" s="68">
        <v>0</v>
      </c>
      <c r="L62" s="69">
        <f t="shared" si="1"/>
        <v>1129.77</v>
      </c>
      <c r="M62" s="273">
        <f t="shared" si="2"/>
        <v>0</v>
      </c>
      <c r="N62" s="71">
        <f t="shared" si="3"/>
        <v>3.05</v>
      </c>
      <c r="O62" s="72">
        <f t="shared" si="4"/>
        <v>1129.77</v>
      </c>
      <c r="P62" s="274">
        <f t="shared" si="5"/>
        <v>3445.7984999999999</v>
      </c>
      <c r="Q62" s="291">
        <f t="shared" si="6"/>
        <v>3.29</v>
      </c>
    </row>
    <row r="63" spans="2:18" s="121" customFormat="1" ht="12" x14ac:dyDescent="0.2">
      <c r="B63" s="120"/>
      <c r="C63" s="73" t="s">
        <v>236</v>
      </c>
      <c r="D63" s="73" t="s">
        <v>209</v>
      </c>
      <c r="E63" s="74" t="s">
        <v>335</v>
      </c>
      <c r="F63" s="75" t="s">
        <v>336</v>
      </c>
      <c r="G63" s="76" t="s">
        <v>99</v>
      </c>
      <c r="H63" s="77">
        <v>4.0599999999999996</v>
      </c>
      <c r="I63" s="78">
        <v>1129.77</v>
      </c>
      <c r="J63" s="77">
        <v>4586.8999999999996</v>
      </c>
      <c r="K63" s="68">
        <v>0</v>
      </c>
      <c r="L63" s="69">
        <f t="shared" si="1"/>
        <v>1129.77</v>
      </c>
      <c r="M63" s="273">
        <f t="shared" si="2"/>
        <v>0</v>
      </c>
      <c r="N63" s="71">
        <f t="shared" si="3"/>
        <v>4.0599999999999996</v>
      </c>
      <c r="O63" s="72">
        <f t="shared" si="4"/>
        <v>1129.77</v>
      </c>
      <c r="P63" s="274">
        <f t="shared" si="5"/>
        <v>4586.8661999999995</v>
      </c>
      <c r="Q63" s="291">
        <f t="shared" si="6"/>
        <v>4.38</v>
      </c>
    </row>
    <row r="64" spans="2:18" s="121" customFormat="1" ht="33.75" x14ac:dyDescent="0.2">
      <c r="B64" s="120"/>
      <c r="C64" s="56" t="s">
        <v>239</v>
      </c>
      <c r="D64" s="56" t="s">
        <v>96</v>
      </c>
      <c r="E64" s="57" t="s">
        <v>347</v>
      </c>
      <c r="F64" s="58" t="s">
        <v>348</v>
      </c>
      <c r="G64" s="59" t="s">
        <v>133</v>
      </c>
      <c r="H64" s="60">
        <v>92.7</v>
      </c>
      <c r="I64" s="61">
        <v>56.03</v>
      </c>
      <c r="J64" s="60">
        <v>5194</v>
      </c>
      <c r="K64" s="68">
        <f t="shared" ref="K64" si="9">ROUND(100.5/100*Q64-Q64,2)</f>
        <v>0.5</v>
      </c>
      <c r="L64" s="69">
        <f t="shared" si="1"/>
        <v>56.03</v>
      </c>
      <c r="M64" s="273">
        <f t="shared" si="2"/>
        <v>28.015000000000001</v>
      </c>
      <c r="N64" s="71">
        <f t="shared" si="3"/>
        <v>93.2</v>
      </c>
      <c r="O64" s="72">
        <f t="shared" si="4"/>
        <v>56.03</v>
      </c>
      <c r="P64" s="274">
        <f t="shared" si="5"/>
        <v>5221.9960000000001</v>
      </c>
      <c r="Q64" s="291">
        <f t="shared" si="6"/>
        <v>100</v>
      </c>
    </row>
    <row r="65" spans="2:18" s="121" customFormat="1" ht="12" x14ac:dyDescent="0.2">
      <c r="B65" s="120"/>
      <c r="C65" s="56" t="s">
        <v>242</v>
      </c>
      <c r="D65" s="56" t="s">
        <v>96</v>
      </c>
      <c r="E65" s="57" t="s">
        <v>350</v>
      </c>
      <c r="F65" s="58" t="s">
        <v>351</v>
      </c>
      <c r="G65" s="59" t="s">
        <v>99</v>
      </c>
      <c r="H65" s="60">
        <v>8</v>
      </c>
      <c r="I65" s="61">
        <v>808.86</v>
      </c>
      <c r="J65" s="60">
        <v>6470.9</v>
      </c>
      <c r="K65" s="68">
        <v>0</v>
      </c>
      <c r="L65" s="69">
        <f t="shared" si="1"/>
        <v>808.86</v>
      </c>
      <c r="M65" s="273">
        <f t="shared" si="2"/>
        <v>0</v>
      </c>
      <c r="N65" s="71">
        <f t="shared" si="3"/>
        <v>8</v>
      </c>
      <c r="O65" s="72">
        <f t="shared" si="4"/>
        <v>808.86</v>
      </c>
      <c r="P65" s="274">
        <f t="shared" si="5"/>
        <v>6470.88</v>
      </c>
      <c r="Q65" s="291">
        <f t="shared" si="6"/>
        <v>8.6300000000000008</v>
      </c>
    </row>
    <row r="66" spans="2:18" s="121" customFormat="1" ht="12" x14ac:dyDescent="0.2">
      <c r="B66" s="120"/>
      <c r="C66" s="73" t="s">
        <v>245</v>
      </c>
      <c r="D66" s="73" t="s">
        <v>209</v>
      </c>
      <c r="E66" s="74" t="s">
        <v>356</v>
      </c>
      <c r="F66" s="75" t="s">
        <v>357</v>
      </c>
      <c r="G66" s="76" t="s">
        <v>99</v>
      </c>
      <c r="H66" s="77">
        <v>4</v>
      </c>
      <c r="I66" s="78">
        <v>1202.1099999999999</v>
      </c>
      <c r="J66" s="77">
        <v>4808.3999999999996</v>
      </c>
      <c r="K66" s="68">
        <v>0</v>
      </c>
      <c r="L66" s="69">
        <f t="shared" si="1"/>
        <v>1202.1099999999999</v>
      </c>
      <c r="M66" s="273">
        <f t="shared" si="2"/>
        <v>0</v>
      </c>
      <c r="N66" s="71">
        <f t="shared" si="3"/>
        <v>4</v>
      </c>
      <c r="O66" s="72">
        <f t="shared" si="4"/>
        <v>1202.1099999999999</v>
      </c>
      <c r="P66" s="274">
        <f t="shared" si="5"/>
        <v>4808.4399999999996</v>
      </c>
      <c r="Q66" s="291">
        <f t="shared" si="6"/>
        <v>4.3099999999999996</v>
      </c>
    </row>
    <row r="67" spans="2:18" s="121" customFormat="1" ht="12" x14ac:dyDescent="0.2">
      <c r="B67" s="120"/>
      <c r="C67" s="73" t="s">
        <v>248</v>
      </c>
      <c r="D67" s="73" t="s">
        <v>209</v>
      </c>
      <c r="E67" s="74" t="s">
        <v>359</v>
      </c>
      <c r="F67" s="75" t="s">
        <v>360</v>
      </c>
      <c r="G67" s="76" t="s">
        <v>99</v>
      </c>
      <c r="H67" s="77">
        <v>4</v>
      </c>
      <c r="I67" s="78">
        <v>775.98</v>
      </c>
      <c r="J67" s="77">
        <v>3103.9</v>
      </c>
      <c r="K67" s="68">
        <v>0</v>
      </c>
      <c r="L67" s="69">
        <f t="shared" si="1"/>
        <v>775.98</v>
      </c>
      <c r="M67" s="273">
        <f t="shared" si="2"/>
        <v>0</v>
      </c>
      <c r="N67" s="71">
        <f t="shared" si="3"/>
        <v>4</v>
      </c>
      <c r="O67" s="72">
        <f t="shared" si="4"/>
        <v>775.98</v>
      </c>
      <c r="P67" s="274">
        <f t="shared" si="5"/>
        <v>3103.92</v>
      </c>
      <c r="Q67" s="291">
        <f t="shared" si="6"/>
        <v>4.3099999999999996</v>
      </c>
    </row>
    <row r="68" spans="2:18" s="121" customFormat="1" ht="12" x14ac:dyDescent="0.2">
      <c r="B68" s="120"/>
      <c r="C68" s="73" t="s">
        <v>251</v>
      </c>
      <c r="D68" s="73" t="s">
        <v>209</v>
      </c>
      <c r="E68" s="74" t="s">
        <v>362</v>
      </c>
      <c r="F68" s="75" t="s">
        <v>363</v>
      </c>
      <c r="G68" s="76" t="s">
        <v>99</v>
      </c>
      <c r="H68" s="77">
        <v>12</v>
      </c>
      <c r="I68" s="78">
        <v>211.75</v>
      </c>
      <c r="J68" s="77">
        <v>2541</v>
      </c>
      <c r="K68" s="68">
        <v>0</v>
      </c>
      <c r="L68" s="69">
        <f t="shared" si="1"/>
        <v>211.75</v>
      </c>
      <c r="M68" s="273">
        <f t="shared" si="2"/>
        <v>0</v>
      </c>
      <c r="N68" s="71">
        <f t="shared" si="3"/>
        <v>12</v>
      </c>
      <c r="O68" s="72">
        <f t="shared" si="4"/>
        <v>211.75</v>
      </c>
      <c r="P68" s="274">
        <f t="shared" si="5"/>
        <v>2541</v>
      </c>
      <c r="Q68" s="291">
        <f t="shared" si="6"/>
        <v>12.94</v>
      </c>
    </row>
    <row r="69" spans="2:18" s="121" customFormat="1" ht="12" x14ac:dyDescent="0.2">
      <c r="B69" s="120"/>
      <c r="C69" s="56" t="s">
        <v>254</v>
      </c>
      <c r="D69" s="56" t="s">
        <v>96</v>
      </c>
      <c r="E69" s="57" t="s">
        <v>365</v>
      </c>
      <c r="F69" s="58" t="s">
        <v>366</v>
      </c>
      <c r="G69" s="59" t="s">
        <v>99</v>
      </c>
      <c r="H69" s="60">
        <v>4</v>
      </c>
      <c r="I69" s="61">
        <v>808.86</v>
      </c>
      <c r="J69" s="60">
        <v>3235.4</v>
      </c>
      <c r="K69" s="68">
        <v>0</v>
      </c>
      <c r="L69" s="69">
        <f t="shared" si="1"/>
        <v>808.86</v>
      </c>
      <c r="M69" s="273">
        <f t="shared" si="2"/>
        <v>0</v>
      </c>
      <c r="N69" s="71">
        <f t="shared" si="3"/>
        <v>4</v>
      </c>
      <c r="O69" s="72">
        <f t="shared" si="4"/>
        <v>808.86</v>
      </c>
      <c r="P69" s="274">
        <f t="shared" si="5"/>
        <v>3235.44</v>
      </c>
      <c r="Q69" s="291">
        <f t="shared" si="6"/>
        <v>4.3099999999999996</v>
      </c>
    </row>
    <row r="70" spans="2:18" s="121" customFormat="1" ht="12" x14ac:dyDescent="0.2">
      <c r="B70" s="120"/>
      <c r="C70" s="73" t="s">
        <v>258</v>
      </c>
      <c r="D70" s="73" t="s">
        <v>209</v>
      </c>
      <c r="E70" s="74" t="s">
        <v>368</v>
      </c>
      <c r="F70" s="75" t="s">
        <v>369</v>
      </c>
      <c r="G70" s="76" t="s">
        <v>99</v>
      </c>
      <c r="H70" s="77">
        <v>4</v>
      </c>
      <c r="I70" s="78">
        <v>1530.92</v>
      </c>
      <c r="J70" s="77">
        <v>6123.7</v>
      </c>
      <c r="K70" s="68">
        <v>0</v>
      </c>
      <c r="L70" s="69">
        <f t="shared" si="1"/>
        <v>1530.92</v>
      </c>
      <c r="M70" s="273">
        <f t="shared" si="2"/>
        <v>0</v>
      </c>
      <c r="N70" s="71">
        <f t="shared" si="3"/>
        <v>4</v>
      </c>
      <c r="O70" s="72">
        <f t="shared" si="4"/>
        <v>1530.92</v>
      </c>
      <c r="P70" s="274">
        <f t="shared" si="5"/>
        <v>6123.68</v>
      </c>
      <c r="Q70" s="291">
        <f t="shared" si="6"/>
        <v>4.3099999999999996</v>
      </c>
    </row>
    <row r="71" spans="2:18" s="121" customFormat="1" ht="12" x14ac:dyDescent="0.2">
      <c r="B71" s="120"/>
      <c r="C71" s="56" t="s">
        <v>261</v>
      </c>
      <c r="D71" s="56" t="s">
        <v>96</v>
      </c>
      <c r="E71" s="57" t="s">
        <v>371</v>
      </c>
      <c r="F71" s="58" t="s">
        <v>372</v>
      </c>
      <c r="G71" s="59" t="s">
        <v>99</v>
      </c>
      <c r="H71" s="60">
        <v>4</v>
      </c>
      <c r="I71" s="61">
        <v>3234.12</v>
      </c>
      <c r="J71" s="60">
        <v>12936.5</v>
      </c>
      <c r="K71" s="68">
        <v>0</v>
      </c>
      <c r="L71" s="69">
        <f t="shared" si="1"/>
        <v>3234.12</v>
      </c>
      <c r="M71" s="273">
        <f t="shared" si="2"/>
        <v>0</v>
      </c>
      <c r="N71" s="71">
        <f t="shared" si="3"/>
        <v>4</v>
      </c>
      <c r="O71" s="72">
        <f t="shared" si="4"/>
        <v>3234.12</v>
      </c>
      <c r="P71" s="274">
        <f t="shared" si="5"/>
        <v>12936.48</v>
      </c>
      <c r="Q71" s="291">
        <f t="shared" si="6"/>
        <v>4.3099999999999996</v>
      </c>
    </row>
    <row r="72" spans="2:18" s="121" customFormat="1" ht="12" x14ac:dyDescent="0.2">
      <c r="B72" s="120"/>
      <c r="C72" s="73" t="s">
        <v>264</v>
      </c>
      <c r="D72" s="73" t="s">
        <v>209</v>
      </c>
      <c r="E72" s="74" t="s">
        <v>374</v>
      </c>
      <c r="F72" s="75" t="s">
        <v>375</v>
      </c>
      <c r="G72" s="76" t="s">
        <v>99</v>
      </c>
      <c r="H72" s="77">
        <v>4</v>
      </c>
      <c r="I72" s="78">
        <v>14588.41</v>
      </c>
      <c r="J72" s="77">
        <v>58353.599999999999</v>
      </c>
      <c r="K72" s="68">
        <v>0</v>
      </c>
      <c r="L72" s="69">
        <f t="shared" si="1"/>
        <v>14588.41</v>
      </c>
      <c r="M72" s="273">
        <f t="shared" si="2"/>
        <v>0</v>
      </c>
      <c r="N72" s="71">
        <f t="shared" si="3"/>
        <v>4</v>
      </c>
      <c r="O72" s="72">
        <f t="shared" si="4"/>
        <v>14588.41</v>
      </c>
      <c r="P72" s="274">
        <f t="shared" si="5"/>
        <v>58353.64</v>
      </c>
      <c r="Q72" s="291">
        <f t="shared" si="6"/>
        <v>4.3099999999999996</v>
      </c>
    </row>
    <row r="73" spans="2:18" s="121" customFormat="1" ht="12" x14ac:dyDescent="0.2">
      <c r="B73" s="120"/>
      <c r="C73" s="56" t="s">
        <v>267</v>
      </c>
      <c r="D73" s="56" t="s">
        <v>96</v>
      </c>
      <c r="E73" s="57" t="s">
        <v>377</v>
      </c>
      <c r="F73" s="58" t="s">
        <v>378</v>
      </c>
      <c r="G73" s="59" t="s">
        <v>99</v>
      </c>
      <c r="H73" s="60">
        <v>4</v>
      </c>
      <c r="I73" s="61">
        <v>485.32</v>
      </c>
      <c r="J73" s="60">
        <v>1941.3</v>
      </c>
      <c r="K73" s="68">
        <v>0</v>
      </c>
      <c r="L73" s="69">
        <f t="shared" si="1"/>
        <v>485.32</v>
      </c>
      <c r="M73" s="273">
        <f t="shared" si="2"/>
        <v>0</v>
      </c>
      <c r="N73" s="71">
        <f t="shared" si="3"/>
        <v>4</v>
      </c>
      <c r="O73" s="72">
        <f t="shared" si="4"/>
        <v>485.32</v>
      </c>
      <c r="P73" s="274">
        <f t="shared" si="5"/>
        <v>1941.28</v>
      </c>
      <c r="Q73" s="291">
        <f t="shared" si="6"/>
        <v>4.3099999999999996</v>
      </c>
    </row>
    <row r="74" spans="2:18" s="121" customFormat="1" ht="12" x14ac:dyDescent="0.2">
      <c r="B74" s="120"/>
      <c r="C74" s="73" t="s">
        <v>270</v>
      </c>
      <c r="D74" s="73" t="s">
        <v>209</v>
      </c>
      <c r="E74" s="74" t="s">
        <v>380</v>
      </c>
      <c r="F74" s="75" t="s">
        <v>381</v>
      </c>
      <c r="G74" s="76" t="s">
        <v>99</v>
      </c>
      <c r="H74" s="77">
        <v>4</v>
      </c>
      <c r="I74" s="78">
        <v>6510.34</v>
      </c>
      <c r="J74" s="77">
        <v>26041.4</v>
      </c>
      <c r="K74" s="68">
        <v>0</v>
      </c>
      <c r="L74" s="69">
        <f t="shared" si="1"/>
        <v>6510.34</v>
      </c>
      <c r="M74" s="273">
        <f t="shared" si="2"/>
        <v>0</v>
      </c>
      <c r="N74" s="71">
        <f t="shared" si="3"/>
        <v>4</v>
      </c>
      <c r="O74" s="72">
        <f t="shared" si="4"/>
        <v>6510.34</v>
      </c>
      <c r="P74" s="274">
        <f t="shared" si="5"/>
        <v>26041.360000000001</v>
      </c>
      <c r="Q74" s="291">
        <f t="shared" si="6"/>
        <v>4.3099999999999996</v>
      </c>
    </row>
    <row r="75" spans="2:18" s="121" customFormat="1" ht="12" x14ac:dyDescent="0.2">
      <c r="B75" s="120"/>
      <c r="C75" s="56" t="s">
        <v>273</v>
      </c>
      <c r="D75" s="56" t="s">
        <v>96</v>
      </c>
      <c r="E75" s="57" t="s">
        <v>383</v>
      </c>
      <c r="F75" s="58" t="s">
        <v>384</v>
      </c>
      <c r="G75" s="59" t="s">
        <v>133</v>
      </c>
      <c r="H75" s="60">
        <v>92.7</v>
      </c>
      <c r="I75" s="61">
        <v>9.2100000000000009</v>
      </c>
      <c r="J75" s="60">
        <v>853.8</v>
      </c>
      <c r="K75" s="68">
        <f t="shared" ref="K75" si="10">ROUND(100.5/100*Q75-Q75,2)</f>
        <v>0.5</v>
      </c>
      <c r="L75" s="69">
        <f t="shared" si="1"/>
        <v>9.2100000000000009</v>
      </c>
      <c r="M75" s="273">
        <f t="shared" si="2"/>
        <v>4.6050000000000004</v>
      </c>
      <c r="N75" s="71">
        <f t="shared" si="3"/>
        <v>93.2</v>
      </c>
      <c r="O75" s="72">
        <f t="shared" si="4"/>
        <v>9.2100000000000009</v>
      </c>
      <c r="P75" s="274">
        <f t="shared" si="5"/>
        <v>858.37200000000007</v>
      </c>
      <c r="Q75" s="291">
        <f t="shared" si="6"/>
        <v>100</v>
      </c>
    </row>
    <row r="76" spans="2:18" s="170" customFormat="1" ht="12.75" x14ac:dyDescent="0.2">
      <c r="B76" s="165"/>
      <c r="C76" s="252"/>
      <c r="D76" s="253" t="s">
        <v>4</v>
      </c>
      <c r="E76" s="254" t="s">
        <v>118</v>
      </c>
      <c r="F76" s="254" t="s">
        <v>385</v>
      </c>
      <c r="G76" s="252"/>
      <c r="H76" s="252"/>
      <c r="I76" s="255"/>
      <c r="J76" s="256">
        <f>+SUBTOTAL(9,J77:J80)</f>
        <v>29452</v>
      </c>
      <c r="K76" s="261"/>
      <c r="L76" s="262"/>
      <c r="M76" s="279">
        <f>SUM(M77:M80)</f>
        <v>0</v>
      </c>
      <c r="N76" s="280"/>
      <c r="O76" s="262"/>
      <c r="P76" s="279">
        <f>SUM(P77:P80)</f>
        <v>29451.870000000003</v>
      </c>
      <c r="Q76" s="291">
        <f t="shared" si="6"/>
        <v>0</v>
      </c>
      <c r="R76" s="121"/>
    </row>
    <row r="77" spans="2:18" s="121" customFormat="1" ht="12" x14ac:dyDescent="0.2">
      <c r="B77" s="120"/>
      <c r="C77" s="56" t="s">
        <v>276</v>
      </c>
      <c r="D77" s="56" t="s">
        <v>96</v>
      </c>
      <c r="E77" s="57" t="s">
        <v>387</v>
      </c>
      <c r="F77" s="58" t="s">
        <v>388</v>
      </c>
      <c r="G77" s="59" t="s">
        <v>133</v>
      </c>
      <c r="H77" s="60">
        <v>149</v>
      </c>
      <c r="I77" s="61">
        <v>87.65</v>
      </c>
      <c r="J77" s="60">
        <v>13059.9</v>
      </c>
      <c r="K77" s="68">
        <v>0</v>
      </c>
      <c r="L77" s="69">
        <f t="shared" si="1"/>
        <v>87.65</v>
      </c>
      <c r="M77" s="273">
        <f t="shared" si="2"/>
        <v>0</v>
      </c>
      <c r="N77" s="71">
        <f t="shared" si="3"/>
        <v>149</v>
      </c>
      <c r="O77" s="72">
        <f t="shared" si="4"/>
        <v>87.65</v>
      </c>
      <c r="P77" s="274">
        <f t="shared" si="5"/>
        <v>13059.85</v>
      </c>
      <c r="Q77" s="291">
        <f t="shared" si="6"/>
        <v>160.72999999999999</v>
      </c>
    </row>
    <row r="78" spans="2:18" s="121" customFormat="1" ht="12" x14ac:dyDescent="0.2">
      <c r="B78" s="120"/>
      <c r="C78" s="56" t="s">
        <v>279</v>
      </c>
      <c r="D78" s="56" t="s">
        <v>96</v>
      </c>
      <c r="E78" s="57" t="s">
        <v>390</v>
      </c>
      <c r="F78" s="58" t="s">
        <v>391</v>
      </c>
      <c r="G78" s="59" t="s">
        <v>133</v>
      </c>
      <c r="H78" s="60">
        <v>149</v>
      </c>
      <c r="I78" s="61">
        <v>72.34</v>
      </c>
      <c r="J78" s="60">
        <v>10778.7</v>
      </c>
      <c r="K78" s="68">
        <v>0</v>
      </c>
      <c r="L78" s="69">
        <f t="shared" si="1"/>
        <v>72.34</v>
      </c>
      <c r="M78" s="273">
        <f t="shared" si="2"/>
        <v>0</v>
      </c>
      <c r="N78" s="71">
        <f t="shared" si="3"/>
        <v>149</v>
      </c>
      <c r="O78" s="72">
        <f t="shared" si="4"/>
        <v>72.34</v>
      </c>
      <c r="P78" s="274">
        <f t="shared" si="5"/>
        <v>10778.66</v>
      </c>
      <c r="Q78" s="291">
        <f t="shared" si="6"/>
        <v>160.72999999999999</v>
      </c>
    </row>
    <row r="79" spans="2:18" s="121" customFormat="1" ht="12" x14ac:dyDescent="0.2">
      <c r="B79" s="120"/>
      <c r="C79" s="56" t="s">
        <v>282</v>
      </c>
      <c r="D79" s="56" t="s">
        <v>96</v>
      </c>
      <c r="E79" s="57" t="s">
        <v>393</v>
      </c>
      <c r="F79" s="58" t="s">
        <v>394</v>
      </c>
      <c r="G79" s="59" t="s">
        <v>99</v>
      </c>
      <c r="H79" s="60">
        <v>1</v>
      </c>
      <c r="I79" s="61">
        <v>1148.19</v>
      </c>
      <c r="J79" s="60">
        <v>1148.2</v>
      </c>
      <c r="K79" s="68">
        <v>0</v>
      </c>
      <c r="L79" s="69">
        <f t="shared" si="1"/>
        <v>1148.19</v>
      </c>
      <c r="M79" s="273">
        <f t="shared" si="2"/>
        <v>0</v>
      </c>
      <c r="N79" s="71">
        <f t="shared" si="3"/>
        <v>1</v>
      </c>
      <c r="O79" s="72">
        <f t="shared" si="4"/>
        <v>1148.19</v>
      </c>
      <c r="P79" s="274">
        <f t="shared" si="5"/>
        <v>1148.19</v>
      </c>
      <c r="Q79" s="291">
        <f t="shared" si="6"/>
        <v>1.08</v>
      </c>
    </row>
    <row r="80" spans="2:18" s="121" customFormat="1" ht="12" x14ac:dyDescent="0.2">
      <c r="B80" s="120"/>
      <c r="C80" s="56" t="s">
        <v>285</v>
      </c>
      <c r="D80" s="56" t="s">
        <v>96</v>
      </c>
      <c r="E80" s="57" t="s">
        <v>396</v>
      </c>
      <c r="F80" s="58" t="s">
        <v>397</v>
      </c>
      <c r="G80" s="59" t="s">
        <v>99</v>
      </c>
      <c r="H80" s="60">
        <v>1</v>
      </c>
      <c r="I80" s="61">
        <v>4465.17</v>
      </c>
      <c r="J80" s="60">
        <v>4465.2</v>
      </c>
      <c r="K80" s="68">
        <v>0</v>
      </c>
      <c r="L80" s="69">
        <f t="shared" ref="L80:L86" si="11">I80</f>
        <v>4465.17</v>
      </c>
      <c r="M80" s="273">
        <f t="shared" ref="M80:M86" si="12">K80*L80</f>
        <v>0</v>
      </c>
      <c r="N80" s="71">
        <f t="shared" ref="N80:N86" si="13">H80+K80</f>
        <v>1</v>
      </c>
      <c r="O80" s="72">
        <f t="shared" ref="O80:O86" si="14">I80</f>
        <v>4465.17</v>
      </c>
      <c r="P80" s="274">
        <f t="shared" ref="P80:P86" si="15">N80*O80</f>
        <v>4465.17</v>
      </c>
      <c r="Q80" s="291">
        <f t="shared" ref="Q80:Q86" si="16">ROUND(100/92.7*H80,2)</f>
        <v>1.08</v>
      </c>
    </row>
    <row r="81" spans="2:18" s="170" customFormat="1" ht="12.75" x14ac:dyDescent="0.2">
      <c r="B81" s="165"/>
      <c r="C81" s="252"/>
      <c r="D81" s="253" t="s">
        <v>4</v>
      </c>
      <c r="E81" s="254" t="s">
        <v>398</v>
      </c>
      <c r="F81" s="254" t="s">
        <v>399</v>
      </c>
      <c r="G81" s="252"/>
      <c r="H81" s="252"/>
      <c r="I81" s="255"/>
      <c r="J81" s="256">
        <f>+SUBTOTAL(9,J82:J84)</f>
        <v>35454.6</v>
      </c>
      <c r="K81" s="261"/>
      <c r="L81" s="262"/>
      <c r="M81" s="279">
        <f>SUM(M82:M84)</f>
        <v>133.2353</v>
      </c>
      <c r="N81" s="280"/>
      <c r="O81" s="262"/>
      <c r="P81" s="279">
        <f>SUM(P82:P84)</f>
        <v>35587.797699999996</v>
      </c>
      <c r="Q81" s="291">
        <f t="shared" si="16"/>
        <v>0</v>
      </c>
      <c r="R81" s="121"/>
    </row>
    <row r="82" spans="2:18" s="121" customFormat="1" ht="12" x14ac:dyDescent="0.2">
      <c r="B82" s="120"/>
      <c r="C82" s="56" t="s">
        <v>289</v>
      </c>
      <c r="D82" s="56" t="s">
        <v>96</v>
      </c>
      <c r="E82" s="57" t="s">
        <v>401</v>
      </c>
      <c r="F82" s="58" t="s">
        <v>402</v>
      </c>
      <c r="G82" s="59" t="s">
        <v>201</v>
      </c>
      <c r="H82" s="60">
        <v>98.94</v>
      </c>
      <c r="I82" s="61">
        <v>160.91999999999999</v>
      </c>
      <c r="J82" s="60">
        <v>15921.4</v>
      </c>
      <c r="K82" s="68">
        <f t="shared" ref="K82" si="17">ROUND(100.5/100*Q82-Q82,2)</f>
        <v>0.53</v>
      </c>
      <c r="L82" s="69">
        <f t="shared" si="11"/>
        <v>160.91999999999999</v>
      </c>
      <c r="M82" s="273">
        <f t="shared" si="12"/>
        <v>85.287599999999998</v>
      </c>
      <c r="N82" s="71">
        <f t="shared" si="13"/>
        <v>99.47</v>
      </c>
      <c r="O82" s="72">
        <f t="shared" si="14"/>
        <v>160.91999999999999</v>
      </c>
      <c r="P82" s="274">
        <f t="shared" si="15"/>
        <v>16006.712399999999</v>
      </c>
      <c r="Q82" s="291">
        <f t="shared" si="16"/>
        <v>106.73</v>
      </c>
    </row>
    <row r="83" spans="2:18" s="121" customFormat="1" ht="12" x14ac:dyDescent="0.2">
      <c r="B83" s="120"/>
      <c r="C83" s="56" t="s">
        <v>292</v>
      </c>
      <c r="D83" s="56" t="s">
        <v>96</v>
      </c>
      <c r="E83" s="57" t="s">
        <v>407</v>
      </c>
      <c r="F83" s="58" t="s">
        <v>408</v>
      </c>
      <c r="G83" s="59" t="s">
        <v>201</v>
      </c>
      <c r="H83" s="60">
        <v>41.01</v>
      </c>
      <c r="I83" s="61">
        <v>257.77999999999997</v>
      </c>
      <c r="J83" s="60">
        <v>10571.6</v>
      </c>
      <c r="K83" s="68">
        <v>0</v>
      </c>
      <c r="L83" s="69">
        <f t="shared" si="11"/>
        <v>257.77999999999997</v>
      </c>
      <c r="M83" s="273">
        <f t="shared" si="12"/>
        <v>0</v>
      </c>
      <c r="N83" s="71">
        <f t="shared" si="13"/>
        <v>41.01</v>
      </c>
      <c r="O83" s="72">
        <f t="shared" si="14"/>
        <v>257.77999999999997</v>
      </c>
      <c r="P83" s="274">
        <f t="shared" si="15"/>
        <v>10571.557799999999</v>
      </c>
      <c r="Q83" s="291">
        <f t="shared" si="16"/>
        <v>44.24</v>
      </c>
    </row>
    <row r="84" spans="2:18" s="121" customFormat="1" ht="12" x14ac:dyDescent="0.2">
      <c r="B84" s="120"/>
      <c r="C84" s="56" t="s">
        <v>295</v>
      </c>
      <c r="D84" s="56" t="s">
        <v>96</v>
      </c>
      <c r="E84" s="57" t="s">
        <v>410</v>
      </c>
      <c r="F84" s="58" t="s">
        <v>411</v>
      </c>
      <c r="G84" s="59" t="s">
        <v>201</v>
      </c>
      <c r="H84" s="60">
        <v>57.94</v>
      </c>
      <c r="I84" s="61">
        <v>154.66999999999999</v>
      </c>
      <c r="J84" s="60">
        <v>8961.6</v>
      </c>
      <c r="K84" s="68">
        <f t="shared" ref="K84" si="18">ROUND(100.5/100*Q84-Q84,2)</f>
        <v>0.31</v>
      </c>
      <c r="L84" s="69">
        <f t="shared" si="11"/>
        <v>154.66999999999999</v>
      </c>
      <c r="M84" s="273">
        <f t="shared" si="12"/>
        <v>47.947699999999998</v>
      </c>
      <c r="N84" s="71">
        <f t="shared" si="13"/>
        <v>58.25</v>
      </c>
      <c r="O84" s="72">
        <f t="shared" si="14"/>
        <v>154.66999999999999</v>
      </c>
      <c r="P84" s="274">
        <f t="shared" si="15"/>
        <v>9009.5275000000001</v>
      </c>
      <c r="Q84" s="291">
        <f t="shared" si="16"/>
        <v>62.5</v>
      </c>
    </row>
    <row r="85" spans="2:18" s="170" customFormat="1" ht="12.75" x14ac:dyDescent="0.2">
      <c r="B85" s="165"/>
      <c r="C85" s="252"/>
      <c r="D85" s="253" t="s">
        <v>4</v>
      </c>
      <c r="E85" s="254" t="s">
        <v>412</v>
      </c>
      <c r="F85" s="254" t="s">
        <v>413</v>
      </c>
      <c r="G85" s="252"/>
      <c r="H85" s="252"/>
      <c r="I85" s="255"/>
      <c r="J85" s="256">
        <f>+SUBTOTAL(9,J86)</f>
        <v>30187.4</v>
      </c>
      <c r="K85" s="261"/>
      <c r="L85" s="262"/>
      <c r="M85" s="279">
        <f>M86</f>
        <v>162.47639999999998</v>
      </c>
      <c r="N85" s="280"/>
      <c r="O85" s="262"/>
      <c r="P85" s="279">
        <f>P86</f>
        <v>30349.904999999999</v>
      </c>
      <c r="Q85" s="291">
        <f t="shared" si="16"/>
        <v>0</v>
      </c>
      <c r="R85" s="121"/>
    </row>
    <row r="86" spans="2:18" s="121" customFormat="1" ht="12" x14ac:dyDescent="0.2">
      <c r="B86" s="120"/>
      <c r="C86" s="56" t="s">
        <v>298</v>
      </c>
      <c r="D86" s="56" t="s">
        <v>96</v>
      </c>
      <c r="E86" s="57" t="s">
        <v>415</v>
      </c>
      <c r="F86" s="58" t="s">
        <v>416</v>
      </c>
      <c r="G86" s="59" t="s">
        <v>201</v>
      </c>
      <c r="H86" s="60">
        <v>263.83</v>
      </c>
      <c r="I86" s="61">
        <v>114.42</v>
      </c>
      <c r="J86" s="60">
        <v>30187.4</v>
      </c>
      <c r="K86" s="68">
        <f t="shared" ref="K86" si="19">ROUND(100.5/100*Q86-Q86,2)</f>
        <v>1.42</v>
      </c>
      <c r="L86" s="69">
        <f t="shared" si="11"/>
        <v>114.42</v>
      </c>
      <c r="M86" s="273">
        <f t="shared" si="12"/>
        <v>162.47639999999998</v>
      </c>
      <c r="N86" s="71">
        <f t="shared" si="13"/>
        <v>265.25</v>
      </c>
      <c r="O86" s="72">
        <f t="shared" si="14"/>
        <v>114.42</v>
      </c>
      <c r="P86" s="274">
        <f t="shared" si="15"/>
        <v>30349.904999999999</v>
      </c>
      <c r="Q86" s="291">
        <f t="shared" si="16"/>
        <v>284.61</v>
      </c>
    </row>
    <row r="87" spans="2:18" s="121" customFormat="1" x14ac:dyDescent="0.2">
      <c r="B87" s="120"/>
      <c r="C87" s="120"/>
      <c r="D87" s="120"/>
      <c r="E87" s="120"/>
      <c r="F87" s="120"/>
      <c r="G87" s="120"/>
      <c r="H87" s="120"/>
      <c r="I87" s="153"/>
      <c r="J87" s="120"/>
      <c r="R87" s="121">
        <f t="shared" ref="R87" si="20">0.78*H87</f>
        <v>0</v>
      </c>
    </row>
    <row r="88" spans="2:18" ht="12.75" x14ac:dyDescent="0.2">
      <c r="D88" s="42"/>
      <c r="E88" s="43" t="s">
        <v>902</v>
      </c>
      <c r="F88" s="44"/>
      <c r="G88" s="44"/>
      <c r="H88" s="45"/>
      <c r="I88" s="44"/>
      <c r="J88" s="46">
        <f>ROUND(SUBTOTAL(9,J12:J86),2)</f>
        <v>1006131.3</v>
      </c>
      <c r="K88" s="49"/>
      <c r="L88" s="46"/>
      <c r="M88" s="281">
        <f>M85+M81+M76+M55+M46+M41+M38+M14</f>
        <v>3306.3298</v>
      </c>
      <c r="N88" s="49"/>
      <c r="O88" s="46"/>
      <c r="P88" s="281">
        <f>P85+P81+P76+P55+P46+P41+P38+P14</f>
        <v>1009437.4708</v>
      </c>
      <c r="Q88" s="281"/>
    </row>
    <row r="89" spans="2:18" ht="12.75" x14ac:dyDescent="0.2">
      <c r="H89" s="50"/>
      <c r="I89" s="8"/>
      <c r="J89" s="9"/>
    </row>
    <row r="90" spans="2:18" ht="14.25" x14ac:dyDescent="0.2">
      <c r="E90" s="6" t="s">
        <v>849</v>
      </c>
      <c r="F90" s="6"/>
      <c r="G90" s="320" t="s">
        <v>1224</v>
      </c>
      <c r="H90" s="50"/>
      <c r="I90" s="8"/>
      <c r="J90" s="6"/>
      <c r="K90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86" xr:uid="{00000000-0001-0000-1B00-000000000000}"/>
  <mergeCells count="2">
    <mergeCell ref="K9:M9"/>
    <mergeCell ref="N9:P9"/>
  </mergeCells>
  <conditionalFormatting sqref="D3:E8 H3:J8 R9:HJ10 D1:J2 D11:HJ11 K1:HJ8 K12:O14 K15:L86">
    <cfRule type="cellIs" dxfId="366" priority="97" operator="lessThan">
      <formula>0</formula>
    </cfRule>
  </conditionalFormatting>
  <conditionalFormatting sqref="G4">
    <cfRule type="cellIs" dxfId="365" priority="96" operator="lessThan">
      <formula>0</formula>
    </cfRule>
  </conditionalFormatting>
  <conditionalFormatting sqref="G3">
    <cfRule type="cellIs" dxfId="364" priority="95" operator="lessThan">
      <formula>0</formula>
    </cfRule>
  </conditionalFormatting>
  <conditionalFormatting sqref="K12:O14 K15:L86">
    <cfRule type="cellIs" dxfId="363" priority="42" operator="lessThan">
      <formula>0</formula>
    </cfRule>
  </conditionalFormatting>
  <conditionalFormatting sqref="D88:D90 E88:HT89 Q90:HT90">
    <cfRule type="cellIs" dxfId="362" priority="31" operator="lessThan">
      <formula>0</formula>
    </cfRule>
  </conditionalFormatting>
  <conditionalFormatting sqref="N15:O86">
    <cfRule type="cellIs" dxfId="361" priority="12" operator="lessThan">
      <formula>0</formula>
    </cfRule>
  </conditionalFormatting>
  <conditionalFormatting sqref="N15:O86">
    <cfRule type="cellIs" dxfId="360" priority="11" operator="lessThan">
      <formula>0</formula>
    </cfRule>
  </conditionalFormatting>
  <conditionalFormatting sqref="E9:J10">
    <cfRule type="cellIs" dxfId="359" priority="9" operator="lessThan">
      <formula>0</formula>
    </cfRule>
  </conditionalFormatting>
  <conditionalFormatting sqref="K9:L10 N9:O9">
    <cfRule type="cellIs" dxfId="358" priority="8" operator="lessThan">
      <formula>0</formula>
    </cfRule>
  </conditionalFormatting>
  <conditionalFormatting sqref="M10:Q10">
    <cfRule type="cellIs" dxfId="357" priority="7" operator="lessThan">
      <formula>0</formula>
    </cfRule>
  </conditionalFormatting>
  <conditionalFormatting sqref="P14">
    <cfRule type="cellIs" dxfId="356" priority="6" operator="lessThan">
      <formula>0</formula>
    </cfRule>
  </conditionalFormatting>
  <conditionalFormatting sqref="P14">
    <cfRule type="cellIs" dxfId="355" priority="5" operator="lessThan">
      <formula>0</formula>
    </cfRule>
  </conditionalFormatting>
  <conditionalFormatting sqref="G90:I90 L90:P90">
    <cfRule type="cellIs" dxfId="354" priority="4" operator="lessThan">
      <formula>0</formula>
    </cfRule>
  </conditionalFormatting>
  <conditionalFormatting sqref="G90:I90 L90:M90">
    <cfRule type="cellIs" dxfId="353" priority="3" operator="lessThan">
      <formula>0</formula>
    </cfRule>
  </conditionalFormatting>
  <conditionalFormatting sqref="G90:I90">
    <cfRule type="cellIs" dxfId="352" priority="2" operator="lessThan">
      <formula>0</formula>
    </cfRule>
  </conditionalFormatting>
  <conditionalFormatting sqref="G90:I90">
    <cfRule type="cellIs" dxfId="351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8" fitToHeight="0" orientation="landscape" r:id="rId1"/>
  <headerFooter>
    <oddFooter>&amp;CStrana &amp;P z &amp;N</oddFooter>
  </headerFooter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pageSetUpPr fitToPage="1"/>
  </sheetPr>
  <dimension ref="B1:T87"/>
  <sheetViews>
    <sheetView showGridLines="0" view="pageBreakPreview" topLeftCell="A45" zoomScale="60" zoomScaleNormal="90" workbookViewId="0">
      <selection activeCell="N74" sqref="N74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5" width="15" style="8" customWidth="1"/>
    <col min="16" max="16" width="19.5" style="8" bestFit="1" customWidth="1"/>
    <col min="17" max="17" width="15" style="8" customWidth="1"/>
    <col min="18" max="18" width="15.6640625" style="8" bestFit="1" customWidth="1"/>
    <col min="19" max="19" width="0" style="8" hidden="1" customWidth="1"/>
    <col min="20" max="20" width="9.33203125" style="8" hidden="1" customWidth="1"/>
    <col min="21" max="16384" width="9.33203125" style="8"/>
  </cols>
  <sheetData>
    <row r="1" spans="2:19" ht="18.95" customHeight="1" x14ac:dyDescent="0.2">
      <c r="F1" s="11"/>
      <c r="G1" s="89"/>
      <c r="H1" s="88"/>
      <c r="I1" s="8"/>
      <c r="J1" s="9"/>
    </row>
    <row r="2" spans="2:19" s="88" customFormat="1" ht="18" customHeight="1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</row>
    <row r="3" spans="2:19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19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19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19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19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19" s="14" customFormat="1" ht="18" customHeight="1" x14ac:dyDescent="0.2">
      <c r="D8" s="146"/>
      <c r="F8" s="11"/>
      <c r="G8" s="105"/>
      <c r="H8" s="145"/>
      <c r="K8" s="149" t="s">
        <v>851</v>
      </c>
      <c r="L8" s="180" t="str">
        <f>+C12</f>
        <v>C3 - Stoka C3</v>
      </c>
      <c r="M8" s="180"/>
      <c r="O8" s="151"/>
    </row>
    <row r="9" spans="2:19" s="15" customFormat="1" ht="20.100000000000001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  <c r="Q9" s="87"/>
    </row>
    <row r="10" spans="2:19" s="15" customFormat="1" ht="24" customHeight="1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41"/>
      <c r="R10" s="189" t="s">
        <v>1136</v>
      </c>
    </row>
    <row r="11" spans="2:19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19" s="121" customFormat="1" ht="22.9" customHeight="1" x14ac:dyDescent="0.25">
      <c r="B12" s="120"/>
      <c r="C12" s="152" t="s">
        <v>499</v>
      </c>
      <c r="D12" s="120"/>
      <c r="E12" s="120"/>
      <c r="F12" s="120"/>
      <c r="G12" s="120"/>
      <c r="H12" s="120"/>
      <c r="I12" s="153"/>
      <c r="J12" s="154">
        <f>+SUBTOTAL(9,J13:J83)</f>
        <v>794892.9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19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+SUBTOTAL(9,J14:J83)</f>
        <v>794892.9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19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+SUBTOTAL(9,J15:J37)</f>
        <v>375835.99999999983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SUM(M15:M37)</f>
        <v>-457.06090000000006</v>
      </c>
      <c r="N14" s="278" t="str">
        <f>IF(ISBLANK(H14),"",H14-K14)</f>
        <v/>
      </c>
      <c r="O14" s="272" t="str">
        <f>IF(ISBLANK(H14),"",J14-L14)</f>
        <v/>
      </c>
      <c r="P14" s="272">
        <f>SUM(P15:P37)</f>
        <v>375378.84529999999</v>
      </c>
      <c r="Q14" s="218" t="s">
        <v>1216</v>
      </c>
    </row>
    <row r="15" spans="2:19" s="121" customFormat="1" ht="16.5" customHeight="1" x14ac:dyDescent="0.2">
      <c r="B15" s="120"/>
      <c r="C15" s="56" t="s">
        <v>8</v>
      </c>
      <c r="D15" s="56" t="s">
        <v>96</v>
      </c>
      <c r="E15" s="57" t="s">
        <v>106</v>
      </c>
      <c r="F15" s="58" t="s">
        <v>107</v>
      </c>
      <c r="G15" s="59" t="s">
        <v>108</v>
      </c>
      <c r="H15" s="60">
        <v>3.3</v>
      </c>
      <c r="I15" s="61">
        <v>31.57</v>
      </c>
      <c r="J15" s="60">
        <v>104.2</v>
      </c>
      <c r="K15" s="68">
        <f>ROUND(84.9/85*Q15-Q15,2)</f>
        <v>0</v>
      </c>
      <c r="L15" s="69">
        <f>I15</f>
        <v>31.57</v>
      </c>
      <c r="M15" s="273">
        <f>K15*L15</f>
        <v>0</v>
      </c>
      <c r="N15" s="71">
        <f>H15+K15</f>
        <v>3.3</v>
      </c>
      <c r="O15" s="72">
        <f>I15</f>
        <v>31.57</v>
      </c>
      <c r="P15" s="274">
        <f>N15*O15</f>
        <v>104.181</v>
      </c>
      <c r="Q15" s="291">
        <f>ROUND(85/80.14*H15,2)</f>
        <v>3.5</v>
      </c>
      <c r="S15" s="194"/>
    </row>
    <row r="16" spans="2:19" s="121" customFormat="1" ht="16.5" customHeight="1" x14ac:dyDescent="0.2">
      <c r="B16" s="120"/>
      <c r="C16" s="56" t="s">
        <v>13</v>
      </c>
      <c r="D16" s="56" t="s">
        <v>96</v>
      </c>
      <c r="E16" s="57" t="s">
        <v>110</v>
      </c>
      <c r="F16" s="58" t="s">
        <v>111</v>
      </c>
      <c r="G16" s="59" t="s">
        <v>108</v>
      </c>
      <c r="H16" s="60">
        <v>3.3</v>
      </c>
      <c r="I16" s="61">
        <v>23.67</v>
      </c>
      <c r="J16" s="60">
        <v>78.099999999999994</v>
      </c>
      <c r="K16" s="68">
        <f t="shared" ref="K16:K43" si="0">ROUND(84.9/85*Q16-Q16,2)</f>
        <v>0</v>
      </c>
      <c r="L16" s="69">
        <f t="shared" ref="L16:L79" si="1">I16</f>
        <v>23.67</v>
      </c>
      <c r="M16" s="273">
        <f t="shared" ref="M16:M79" si="2">K16*L16</f>
        <v>0</v>
      </c>
      <c r="N16" s="71">
        <f t="shared" ref="N16:N79" si="3">H16+K16</f>
        <v>3.3</v>
      </c>
      <c r="O16" s="72">
        <f t="shared" ref="O16:O79" si="4">I16</f>
        <v>23.67</v>
      </c>
      <c r="P16" s="274">
        <f t="shared" ref="P16:P79" si="5">N16*O16</f>
        <v>78.111000000000004</v>
      </c>
      <c r="Q16" s="291">
        <f t="shared" ref="Q16:Q79" si="6">ROUND(85/80.14*H16,2)</f>
        <v>3.5</v>
      </c>
      <c r="S16" s="194"/>
    </row>
    <row r="17" spans="2:19" s="121" customFormat="1" ht="16.5" customHeight="1" x14ac:dyDescent="0.2">
      <c r="B17" s="120"/>
      <c r="C17" s="56" t="s">
        <v>100</v>
      </c>
      <c r="D17" s="56" t="s">
        <v>96</v>
      </c>
      <c r="E17" s="57" t="s">
        <v>113</v>
      </c>
      <c r="F17" s="58" t="s">
        <v>114</v>
      </c>
      <c r="G17" s="59" t="s">
        <v>108</v>
      </c>
      <c r="H17" s="60">
        <v>3.3</v>
      </c>
      <c r="I17" s="61">
        <v>26.3</v>
      </c>
      <c r="J17" s="60">
        <v>86.8</v>
      </c>
      <c r="K17" s="68">
        <f t="shared" si="0"/>
        <v>0</v>
      </c>
      <c r="L17" s="69">
        <f t="shared" si="1"/>
        <v>26.3</v>
      </c>
      <c r="M17" s="273">
        <f t="shared" si="2"/>
        <v>0</v>
      </c>
      <c r="N17" s="71">
        <f t="shared" si="3"/>
        <v>3.3</v>
      </c>
      <c r="O17" s="72">
        <f t="shared" si="4"/>
        <v>26.3</v>
      </c>
      <c r="P17" s="274">
        <f t="shared" si="5"/>
        <v>86.789999999999992</v>
      </c>
      <c r="Q17" s="291">
        <f t="shared" si="6"/>
        <v>3.5</v>
      </c>
      <c r="S17" s="194"/>
    </row>
    <row r="18" spans="2:19" s="121" customFormat="1" ht="16.5" customHeight="1" x14ac:dyDescent="0.2">
      <c r="B18" s="120"/>
      <c r="C18" s="56" t="s">
        <v>105</v>
      </c>
      <c r="D18" s="56" t="s">
        <v>96</v>
      </c>
      <c r="E18" s="57" t="s">
        <v>116</v>
      </c>
      <c r="F18" s="58" t="s">
        <v>117</v>
      </c>
      <c r="G18" s="59" t="s">
        <v>108</v>
      </c>
      <c r="H18" s="60">
        <v>90.2</v>
      </c>
      <c r="I18" s="61">
        <v>40.770000000000003</v>
      </c>
      <c r="J18" s="60">
        <v>3677.5</v>
      </c>
      <c r="K18" s="68">
        <f t="shared" si="0"/>
        <v>-0.11</v>
      </c>
      <c r="L18" s="69">
        <f t="shared" si="1"/>
        <v>40.770000000000003</v>
      </c>
      <c r="M18" s="273">
        <f t="shared" si="2"/>
        <v>-4.4847000000000001</v>
      </c>
      <c r="N18" s="71">
        <f t="shared" si="3"/>
        <v>90.09</v>
      </c>
      <c r="O18" s="72">
        <f t="shared" si="4"/>
        <v>40.770000000000003</v>
      </c>
      <c r="P18" s="274">
        <f t="shared" si="5"/>
        <v>3672.9693000000002</v>
      </c>
      <c r="Q18" s="291">
        <f t="shared" si="6"/>
        <v>95.67</v>
      </c>
      <c r="S18" s="194"/>
    </row>
    <row r="19" spans="2:19" s="121" customFormat="1" ht="16.5" customHeight="1" x14ac:dyDescent="0.2">
      <c r="B19" s="120"/>
      <c r="C19" s="56" t="s">
        <v>109</v>
      </c>
      <c r="D19" s="56" t="s">
        <v>96</v>
      </c>
      <c r="E19" s="57" t="s">
        <v>119</v>
      </c>
      <c r="F19" s="58" t="s">
        <v>120</v>
      </c>
      <c r="G19" s="59" t="s">
        <v>108</v>
      </c>
      <c r="H19" s="60">
        <v>61.6</v>
      </c>
      <c r="I19" s="61">
        <v>53.92</v>
      </c>
      <c r="J19" s="60">
        <v>3321.5</v>
      </c>
      <c r="K19" s="68">
        <f t="shared" si="0"/>
        <v>-0.08</v>
      </c>
      <c r="L19" s="69">
        <f t="shared" si="1"/>
        <v>53.92</v>
      </c>
      <c r="M19" s="273">
        <f t="shared" si="2"/>
        <v>-4.3136000000000001</v>
      </c>
      <c r="N19" s="71">
        <f t="shared" si="3"/>
        <v>61.52</v>
      </c>
      <c r="O19" s="72">
        <f t="shared" si="4"/>
        <v>53.92</v>
      </c>
      <c r="P19" s="274">
        <f t="shared" si="5"/>
        <v>3317.1584000000003</v>
      </c>
      <c r="Q19" s="291">
        <f t="shared" si="6"/>
        <v>65.34</v>
      </c>
      <c r="S19" s="194"/>
    </row>
    <row r="20" spans="2:19" s="121" customFormat="1" ht="16.5" customHeight="1" x14ac:dyDescent="0.2">
      <c r="B20" s="120"/>
      <c r="C20" s="56" t="s">
        <v>112</v>
      </c>
      <c r="D20" s="56" t="s">
        <v>96</v>
      </c>
      <c r="E20" s="57" t="s">
        <v>125</v>
      </c>
      <c r="F20" s="58" t="s">
        <v>126</v>
      </c>
      <c r="G20" s="59" t="s">
        <v>108</v>
      </c>
      <c r="H20" s="60">
        <v>54.6</v>
      </c>
      <c r="I20" s="61">
        <v>55.24</v>
      </c>
      <c r="J20" s="60">
        <v>3016.1</v>
      </c>
      <c r="K20" s="68">
        <v>0</v>
      </c>
      <c r="L20" s="69">
        <f t="shared" si="1"/>
        <v>55.24</v>
      </c>
      <c r="M20" s="273">
        <f t="shared" si="2"/>
        <v>0</v>
      </c>
      <c r="N20" s="71">
        <f t="shared" si="3"/>
        <v>54.6</v>
      </c>
      <c r="O20" s="72">
        <f t="shared" si="4"/>
        <v>55.24</v>
      </c>
      <c r="P20" s="274">
        <f t="shared" si="5"/>
        <v>3016.1040000000003</v>
      </c>
      <c r="Q20" s="291">
        <f t="shared" si="6"/>
        <v>57.91</v>
      </c>
      <c r="S20" s="194"/>
    </row>
    <row r="21" spans="2:19" s="121" customFormat="1" ht="16.5" customHeight="1" x14ac:dyDescent="0.2">
      <c r="B21" s="120"/>
      <c r="C21" s="56" t="s">
        <v>115</v>
      </c>
      <c r="D21" s="56" t="s">
        <v>96</v>
      </c>
      <c r="E21" s="57" t="s">
        <v>128</v>
      </c>
      <c r="F21" s="58" t="s">
        <v>129</v>
      </c>
      <c r="G21" s="59" t="s">
        <v>108</v>
      </c>
      <c r="H21" s="60">
        <v>28.6</v>
      </c>
      <c r="I21" s="61">
        <v>151.25</v>
      </c>
      <c r="J21" s="60">
        <v>4325.8</v>
      </c>
      <c r="K21" s="68">
        <v>0</v>
      </c>
      <c r="L21" s="69">
        <f t="shared" si="1"/>
        <v>151.25</v>
      </c>
      <c r="M21" s="273">
        <f t="shared" si="2"/>
        <v>0</v>
      </c>
      <c r="N21" s="71">
        <f t="shared" si="3"/>
        <v>28.6</v>
      </c>
      <c r="O21" s="72">
        <f t="shared" si="4"/>
        <v>151.25</v>
      </c>
      <c r="P21" s="274">
        <f t="shared" si="5"/>
        <v>4325.75</v>
      </c>
      <c r="Q21" s="291">
        <f t="shared" si="6"/>
        <v>30.33</v>
      </c>
      <c r="S21" s="194"/>
    </row>
    <row r="22" spans="2:19" s="121" customFormat="1" ht="16.5" customHeight="1" x14ac:dyDescent="0.2">
      <c r="B22" s="120"/>
      <c r="C22" s="56" t="s">
        <v>118</v>
      </c>
      <c r="D22" s="56" t="s">
        <v>96</v>
      </c>
      <c r="E22" s="57" t="s">
        <v>157</v>
      </c>
      <c r="F22" s="58" t="s">
        <v>158</v>
      </c>
      <c r="G22" s="59" t="s">
        <v>150</v>
      </c>
      <c r="H22" s="60">
        <v>61.52</v>
      </c>
      <c r="I22" s="61">
        <v>257.77999999999997</v>
      </c>
      <c r="J22" s="60">
        <v>15858.6</v>
      </c>
      <c r="K22" s="68">
        <f t="shared" si="0"/>
        <v>-0.08</v>
      </c>
      <c r="L22" s="69">
        <f t="shared" si="1"/>
        <v>257.77999999999997</v>
      </c>
      <c r="M22" s="273">
        <f t="shared" si="2"/>
        <v>-20.622399999999999</v>
      </c>
      <c r="N22" s="71">
        <f t="shared" si="3"/>
        <v>61.440000000000005</v>
      </c>
      <c r="O22" s="72">
        <f t="shared" si="4"/>
        <v>257.77999999999997</v>
      </c>
      <c r="P22" s="274">
        <f t="shared" si="5"/>
        <v>15838.003199999999</v>
      </c>
      <c r="Q22" s="291">
        <f t="shared" si="6"/>
        <v>65.25</v>
      </c>
      <c r="S22" s="194"/>
    </row>
    <row r="23" spans="2:19" s="121" customFormat="1" ht="16.5" customHeight="1" x14ac:dyDescent="0.2">
      <c r="B23" s="120"/>
      <c r="C23" s="56" t="s">
        <v>121</v>
      </c>
      <c r="D23" s="56" t="s">
        <v>96</v>
      </c>
      <c r="E23" s="57" t="s">
        <v>160</v>
      </c>
      <c r="F23" s="58" t="s">
        <v>161</v>
      </c>
      <c r="G23" s="59" t="s">
        <v>150</v>
      </c>
      <c r="H23" s="60">
        <v>18.46</v>
      </c>
      <c r="I23" s="61">
        <v>13.15</v>
      </c>
      <c r="J23" s="60">
        <v>242.7</v>
      </c>
      <c r="K23" s="68">
        <f t="shared" si="0"/>
        <v>-0.02</v>
      </c>
      <c r="L23" s="69">
        <f t="shared" si="1"/>
        <v>13.15</v>
      </c>
      <c r="M23" s="273">
        <f t="shared" si="2"/>
        <v>-0.26300000000000001</v>
      </c>
      <c r="N23" s="71">
        <f t="shared" si="3"/>
        <v>18.440000000000001</v>
      </c>
      <c r="O23" s="72">
        <f t="shared" si="4"/>
        <v>13.15</v>
      </c>
      <c r="P23" s="274">
        <f t="shared" si="5"/>
        <v>242.48600000000002</v>
      </c>
      <c r="Q23" s="291">
        <f t="shared" si="6"/>
        <v>19.579999999999998</v>
      </c>
      <c r="S23" s="194"/>
    </row>
    <row r="24" spans="2:19" s="121" customFormat="1" ht="16.5" customHeight="1" x14ac:dyDescent="0.2">
      <c r="B24" s="120"/>
      <c r="C24" s="56" t="s">
        <v>124</v>
      </c>
      <c r="D24" s="56" t="s">
        <v>96</v>
      </c>
      <c r="E24" s="57" t="s">
        <v>163</v>
      </c>
      <c r="F24" s="58" t="s">
        <v>164</v>
      </c>
      <c r="G24" s="59" t="s">
        <v>150</v>
      </c>
      <c r="H24" s="60">
        <v>47.02</v>
      </c>
      <c r="I24" s="61">
        <v>315.64999999999998</v>
      </c>
      <c r="J24" s="60">
        <v>14841.9</v>
      </c>
      <c r="K24" s="68">
        <f t="shared" si="0"/>
        <v>-0.06</v>
      </c>
      <c r="L24" s="69">
        <f t="shared" si="1"/>
        <v>315.64999999999998</v>
      </c>
      <c r="M24" s="273">
        <f t="shared" si="2"/>
        <v>-18.938999999999997</v>
      </c>
      <c r="N24" s="71">
        <f t="shared" si="3"/>
        <v>46.96</v>
      </c>
      <c r="O24" s="72">
        <f t="shared" si="4"/>
        <v>315.64999999999998</v>
      </c>
      <c r="P24" s="274">
        <f t="shared" si="5"/>
        <v>14822.923999999999</v>
      </c>
      <c r="Q24" s="291">
        <f t="shared" si="6"/>
        <v>49.87</v>
      </c>
      <c r="S24" s="194"/>
    </row>
    <row r="25" spans="2:19" s="121" customFormat="1" ht="16.5" customHeight="1" x14ac:dyDescent="0.2">
      <c r="B25" s="120"/>
      <c r="C25" s="56" t="s">
        <v>127</v>
      </c>
      <c r="D25" s="56" t="s">
        <v>96</v>
      </c>
      <c r="E25" s="57" t="s">
        <v>166</v>
      </c>
      <c r="F25" s="58" t="s">
        <v>167</v>
      </c>
      <c r="G25" s="59" t="s">
        <v>150</v>
      </c>
      <c r="H25" s="60">
        <v>14.11</v>
      </c>
      <c r="I25" s="61">
        <v>15.78</v>
      </c>
      <c r="J25" s="60">
        <v>222.7</v>
      </c>
      <c r="K25" s="68">
        <f t="shared" si="0"/>
        <v>-0.02</v>
      </c>
      <c r="L25" s="69">
        <f t="shared" si="1"/>
        <v>15.78</v>
      </c>
      <c r="M25" s="273">
        <f t="shared" si="2"/>
        <v>-0.31559999999999999</v>
      </c>
      <c r="N25" s="71">
        <f t="shared" si="3"/>
        <v>14.09</v>
      </c>
      <c r="O25" s="72">
        <f t="shared" si="4"/>
        <v>15.78</v>
      </c>
      <c r="P25" s="274">
        <f t="shared" si="5"/>
        <v>222.34019999999998</v>
      </c>
      <c r="Q25" s="291">
        <f t="shared" si="6"/>
        <v>14.97</v>
      </c>
      <c r="S25" s="194"/>
    </row>
    <row r="26" spans="2:19" s="121" customFormat="1" ht="16.5" customHeight="1" x14ac:dyDescent="0.2">
      <c r="B26" s="120"/>
      <c r="C26" s="56" t="s">
        <v>130</v>
      </c>
      <c r="D26" s="56" t="s">
        <v>96</v>
      </c>
      <c r="E26" s="57" t="s">
        <v>169</v>
      </c>
      <c r="F26" s="58" t="s">
        <v>170</v>
      </c>
      <c r="G26" s="59" t="s">
        <v>150</v>
      </c>
      <c r="H26" s="60">
        <v>7.87</v>
      </c>
      <c r="I26" s="61">
        <v>837.79</v>
      </c>
      <c r="J26" s="60">
        <v>6593.4</v>
      </c>
      <c r="K26" s="68">
        <f t="shared" si="0"/>
        <v>-0.01</v>
      </c>
      <c r="L26" s="69">
        <f t="shared" si="1"/>
        <v>837.79</v>
      </c>
      <c r="M26" s="273">
        <f t="shared" si="2"/>
        <v>-8.3779000000000003</v>
      </c>
      <c r="N26" s="71">
        <f t="shared" si="3"/>
        <v>7.86</v>
      </c>
      <c r="O26" s="72">
        <f t="shared" si="4"/>
        <v>837.79</v>
      </c>
      <c r="P26" s="274">
        <f t="shared" si="5"/>
        <v>6585.0294000000004</v>
      </c>
      <c r="Q26" s="291">
        <f t="shared" si="6"/>
        <v>8.35</v>
      </c>
      <c r="S26" s="194"/>
    </row>
    <row r="27" spans="2:19" s="121" customFormat="1" ht="16.5" customHeight="1" x14ac:dyDescent="0.2">
      <c r="B27" s="120"/>
      <c r="C27" s="56" t="s">
        <v>134</v>
      </c>
      <c r="D27" s="56" t="s">
        <v>96</v>
      </c>
      <c r="E27" s="57" t="s">
        <v>172</v>
      </c>
      <c r="F27" s="58" t="s">
        <v>173</v>
      </c>
      <c r="G27" s="59" t="s">
        <v>150</v>
      </c>
      <c r="H27" s="60">
        <v>90.73</v>
      </c>
      <c r="I27" s="61">
        <v>1116.6199999999999</v>
      </c>
      <c r="J27" s="60">
        <v>101310.9</v>
      </c>
      <c r="K27" s="68">
        <f t="shared" si="0"/>
        <v>-0.11</v>
      </c>
      <c r="L27" s="69">
        <f t="shared" si="1"/>
        <v>1116.6199999999999</v>
      </c>
      <c r="M27" s="273">
        <f t="shared" si="2"/>
        <v>-122.8282</v>
      </c>
      <c r="N27" s="71">
        <f t="shared" si="3"/>
        <v>90.62</v>
      </c>
      <c r="O27" s="72">
        <f t="shared" si="4"/>
        <v>1116.6199999999999</v>
      </c>
      <c r="P27" s="274">
        <f t="shared" si="5"/>
        <v>101188.1044</v>
      </c>
      <c r="Q27" s="291">
        <f t="shared" si="6"/>
        <v>96.23</v>
      </c>
      <c r="S27" s="194"/>
    </row>
    <row r="28" spans="2:19" s="121" customFormat="1" ht="16.5" customHeight="1" x14ac:dyDescent="0.2">
      <c r="B28" s="120"/>
      <c r="C28" s="56" t="s">
        <v>2</v>
      </c>
      <c r="D28" s="56" t="s">
        <v>96</v>
      </c>
      <c r="E28" s="57" t="s">
        <v>175</v>
      </c>
      <c r="F28" s="58" t="s">
        <v>176</v>
      </c>
      <c r="G28" s="59" t="s">
        <v>108</v>
      </c>
      <c r="H28" s="60">
        <v>395.16</v>
      </c>
      <c r="I28" s="61">
        <v>99.96</v>
      </c>
      <c r="J28" s="60">
        <v>39500.199999999997</v>
      </c>
      <c r="K28" s="68">
        <f t="shared" si="0"/>
        <v>-0.49</v>
      </c>
      <c r="L28" s="69">
        <f t="shared" si="1"/>
        <v>99.96</v>
      </c>
      <c r="M28" s="273">
        <f t="shared" si="2"/>
        <v>-48.980399999999996</v>
      </c>
      <c r="N28" s="71">
        <f t="shared" si="3"/>
        <v>394.67</v>
      </c>
      <c r="O28" s="72">
        <f t="shared" si="4"/>
        <v>99.96</v>
      </c>
      <c r="P28" s="274">
        <f t="shared" si="5"/>
        <v>39451.213199999998</v>
      </c>
      <c r="Q28" s="291">
        <f t="shared" si="6"/>
        <v>419.12</v>
      </c>
      <c r="S28" s="194"/>
    </row>
    <row r="29" spans="2:19" s="121" customFormat="1" ht="16.5" customHeight="1" x14ac:dyDescent="0.2">
      <c r="B29" s="120"/>
      <c r="C29" s="56" t="s">
        <v>141</v>
      </c>
      <c r="D29" s="56" t="s">
        <v>96</v>
      </c>
      <c r="E29" s="57" t="s">
        <v>181</v>
      </c>
      <c r="F29" s="58" t="s">
        <v>182</v>
      </c>
      <c r="G29" s="59" t="s">
        <v>108</v>
      </c>
      <c r="H29" s="60">
        <v>395.16</v>
      </c>
      <c r="I29" s="61">
        <v>149.94</v>
      </c>
      <c r="J29" s="60">
        <v>59250.3</v>
      </c>
      <c r="K29" s="68">
        <f t="shared" si="0"/>
        <v>-0.49</v>
      </c>
      <c r="L29" s="69">
        <f t="shared" si="1"/>
        <v>149.94</v>
      </c>
      <c r="M29" s="273">
        <f t="shared" si="2"/>
        <v>-73.470600000000005</v>
      </c>
      <c r="N29" s="71">
        <f t="shared" si="3"/>
        <v>394.67</v>
      </c>
      <c r="O29" s="72">
        <f t="shared" si="4"/>
        <v>149.94</v>
      </c>
      <c r="P29" s="274">
        <f t="shared" si="5"/>
        <v>59176.819800000005</v>
      </c>
      <c r="Q29" s="291">
        <f t="shared" si="6"/>
        <v>419.12</v>
      </c>
      <c r="S29" s="194"/>
    </row>
    <row r="30" spans="2:19" s="121" customFormat="1" ht="16.5" customHeight="1" x14ac:dyDescent="0.2">
      <c r="B30" s="120"/>
      <c r="C30" s="56" t="s">
        <v>144</v>
      </c>
      <c r="D30" s="56" t="s">
        <v>96</v>
      </c>
      <c r="E30" s="57" t="s">
        <v>187</v>
      </c>
      <c r="F30" s="58" t="s">
        <v>188</v>
      </c>
      <c r="G30" s="59" t="s">
        <v>150</v>
      </c>
      <c r="H30" s="60">
        <v>340.79</v>
      </c>
      <c r="I30" s="61">
        <v>97.76</v>
      </c>
      <c r="J30" s="60">
        <v>33315.599999999999</v>
      </c>
      <c r="K30" s="68">
        <f t="shared" si="0"/>
        <v>-0.43</v>
      </c>
      <c r="L30" s="69">
        <f t="shared" si="1"/>
        <v>97.76</v>
      </c>
      <c r="M30" s="273">
        <f t="shared" si="2"/>
        <v>-42.036799999999999</v>
      </c>
      <c r="N30" s="71">
        <f t="shared" si="3"/>
        <v>340.36</v>
      </c>
      <c r="O30" s="72">
        <f t="shared" si="4"/>
        <v>97.76</v>
      </c>
      <c r="P30" s="274">
        <f t="shared" si="5"/>
        <v>33273.5936</v>
      </c>
      <c r="Q30" s="291">
        <f t="shared" si="6"/>
        <v>361.46</v>
      </c>
      <c r="S30" s="194"/>
    </row>
    <row r="31" spans="2:19" s="121" customFormat="1" ht="16.5" customHeight="1" x14ac:dyDescent="0.2">
      <c r="B31" s="120"/>
      <c r="C31" s="56" t="s">
        <v>147</v>
      </c>
      <c r="D31" s="56" t="s">
        <v>96</v>
      </c>
      <c r="E31" s="57" t="s">
        <v>190</v>
      </c>
      <c r="F31" s="58" t="s">
        <v>191</v>
      </c>
      <c r="G31" s="59" t="s">
        <v>150</v>
      </c>
      <c r="H31" s="60">
        <v>72.89</v>
      </c>
      <c r="I31" s="61">
        <v>247.39</v>
      </c>
      <c r="J31" s="60">
        <v>18032.3</v>
      </c>
      <c r="K31" s="68">
        <f t="shared" si="0"/>
        <v>-0.09</v>
      </c>
      <c r="L31" s="69">
        <f t="shared" si="1"/>
        <v>247.39</v>
      </c>
      <c r="M31" s="273">
        <f t="shared" si="2"/>
        <v>-22.265099999999997</v>
      </c>
      <c r="N31" s="71">
        <f t="shared" si="3"/>
        <v>72.8</v>
      </c>
      <c r="O31" s="72">
        <f t="shared" si="4"/>
        <v>247.39</v>
      </c>
      <c r="P31" s="274">
        <f t="shared" si="5"/>
        <v>18009.991999999998</v>
      </c>
      <c r="Q31" s="291">
        <f t="shared" si="6"/>
        <v>77.31</v>
      </c>
      <c r="S31" s="194"/>
    </row>
    <row r="32" spans="2:19" s="121" customFormat="1" ht="16.5" customHeight="1" x14ac:dyDescent="0.2">
      <c r="B32" s="120"/>
      <c r="C32" s="56" t="s">
        <v>151</v>
      </c>
      <c r="D32" s="56" t="s">
        <v>96</v>
      </c>
      <c r="E32" s="57" t="s">
        <v>193</v>
      </c>
      <c r="F32" s="58" t="s">
        <v>194</v>
      </c>
      <c r="G32" s="59" t="s">
        <v>150</v>
      </c>
      <c r="H32" s="60">
        <v>72.89</v>
      </c>
      <c r="I32" s="61">
        <v>44.72</v>
      </c>
      <c r="J32" s="60">
        <v>3259.6</v>
      </c>
      <c r="K32" s="68">
        <f t="shared" si="0"/>
        <v>-0.09</v>
      </c>
      <c r="L32" s="69">
        <f t="shared" si="1"/>
        <v>44.72</v>
      </c>
      <c r="M32" s="273">
        <f t="shared" si="2"/>
        <v>-4.0247999999999999</v>
      </c>
      <c r="N32" s="71">
        <f t="shared" si="3"/>
        <v>72.8</v>
      </c>
      <c r="O32" s="72">
        <f t="shared" si="4"/>
        <v>44.72</v>
      </c>
      <c r="P32" s="274">
        <f t="shared" si="5"/>
        <v>3255.616</v>
      </c>
      <c r="Q32" s="291">
        <f t="shared" si="6"/>
        <v>77.31</v>
      </c>
      <c r="S32" s="194"/>
    </row>
    <row r="33" spans="2:19" s="121" customFormat="1" ht="16.5" customHeight="1" x14ac:dyDescent="0.2">
      <c r="B33" s="120"/>
      <c r="C33" s="56" t="s">
        <v>154</v>
      </c>
      <c r="D33" s="56" t="s">
        <v>96</v>
      </c>
      <c r="E33" s="57" t="s">
        <v>196</v>
      </c>
      <c r="F33" s="58" t="s">
        <v>197</v>
      </c>
      <c r="G33" s="59" t="s">
        <v>150</v>
      </c>
      <c r="H33" s="60">
        <v>72.89</v>
      </c>
      <c r="I33" s="61">
        <v>11.84</v>
      </c>
      <c r="J33" s="60">
        <v>863</v>
      </c>
      <c r="K33" s="68">
        <f t="shared" si="0"/>
        <v>-0.09</v>
      </c>
      <c r="L33" s="69">
        <f t="shared" si="1"/>
        <v>11.84</v>
      </c>
      <c r="M33" s="273">
        <f t="shared" si="2"/>
        <v>-1.0655999999999999</v>
      </c>
      <c r="N33" s="71">
        <f t="shared" si="3"/>
        <v>72.8</v>
      </c>
      <c r="O33" s="72">
        <f t="shared" si="4"/>
        <v>11.84</v>
      </c>
      <c r="P33" s="274">
        <f t="shared" si="5"/>
        <v>861.952</v>
      </c>
      <c r="Q33" s="291">
        <f t="shared" si="6"/>
        <v>77.31</v>
      </c>
      <c r="S33" s="194"/>
    </row>
    <row r="34" spans="2:19" s="121" customFormat="1" ht="16.5" customHeight="1" x14ac:dyDescent="0.2">
      <c r="B34" s="120"/>
      <c r="C34" s="56" t="s">
        <v>1</v>
      </c>
      <c r="D34" s="56" t="s">
        <v>96</v>
      </c>
      <c r="E34" s="57" t="s">
        <v>199</v>
      </c>
      <c r="F34" s="58" t="s">
        <v>200</v>
      </c>
      <c r="G34" s="59" t="s">
        <v>201</v>
      </c>
      <c r="H34" s="60">
        <v>145.78</v>
      </c>
      <c r="I34" s="61">
        <v>116</v>
      </c>
      <c r="J34" s="60">
        <v>16910.5</v>
      </c>
      <c r="K34" s="68">
        <f t="shared" si="0"/>
        <v>-0.18</v>
      </c>
      <c r="L34" s="69">
        <f t="shared" si="1"/>
        <v>116</v>
      </c>
      <c r="M34" s="273">
        <f t="shared" si="2"/>
        <v>-20.88</v>
      </c>
      <c r="N34" s="71">
        <f t="shared" si="3"/>
        <v>145.6</v>
      </c>
      <c r="O34" s="72">
        <f t="shared" si="4"/>
        <v>116</v>
      </c>
      <c r="P34" s="274">
        <f t="shared" si="5"/>
        <v>16889.599999999999</v>
      </c>
      <c r="Q34" s="291">
        <f t="shared" si="6"/>
        <v>154.62</v>
      </c>
      <c r="S34" s="194"/>
    </row>
    <row r="35" spans="2:19" s="121" customFormat="1" ht="16.5" customHeight="1" x14ac:dyDescent="0.2">
      <c r="B35" s="120"/>
      <c r="C35" s="56" t="s">
        <v>159</v>
      </c>
      <c r="D35" s="56" t="s">
        <v>96</v>
      </c>
      <c r="E35" s="57" t="s">
        <v>203</v>
      </c>
      <c r="F35" s="58" t="s">
        <v>204</v>
      </c>
      <c r="G35" s="59" t="s">
        <v>150</v>
      </c>
      <c r="H35" s="60">
        <v>133.65</v>
      </c>
      <c r="I35" s="61">
        <v>143.36000000000001</v>
      </c>
      <c r="J35" s="60">
        <v>19160.099999999999</v>
      </c>
      <c r="K35" s="68">
        <f t="shared" si="0"/>
        <v>-0.17</v>
      </c>
      <c r="L35" s="69">
        <f t="shared" si="1"/>
        <v>143.36000000000001</v>
      </c>
      <c r="M35" s="273">
        <f t="shared" si="2"/>
        <v>-24.371200000000005</v>
      </c>
      <c r="N35" s="71">
        <f t="shared" si="3"/>
        <v>133.48000000000002</v>
      </c>
      <c r="O35" s="72">
        <f t="shared" si="4"/>
        <v>143.36000000000001</v>
      </c>
      <c r="P35" s="274">
        <f t="shared" si="5"/>
        <v>19135.692800000004</v>
      </c>
      <c r="Q35" s="291">
        <f t="shared" si="6"/>
        <v>141.76</v>
      </c>
      <c r="S35" s="194"/>
    </row>
    <row r="36" spans="2:19" s="121" customFormat="1" ht="16.5" customHeight="1" x14ac:dyDescent="0.2">
      <c r="B36" s="120"/>
      <c r="C36" s="56" t="s">
        <v>162</v>
      </c>
      <c r="D36" s="56" t="s">
        <v>96</v>
      </c>
      <c r="E36" s="57" t="s">
        <v>206</v>
      </c>
      <c r="F36" s="58" t="s">
        <v>207</v>
      </c>
      <c r="G36" s="59" t="s">
        <v>150</v>
      </c>
      <c r="H36" s="60">
        <v>48.01</v>
      </c>
      <c r="I36" s="61">
        <v>318.27999999999997</v>
      </c>
      <c r="J36" s="60">
        <v>15280.6</v>
      </c>
      <c r="K36" s="68">
        <f t="shared" si="0"/>
        <v>-0.06</v>
      </c>
      <c r="L36" s="69">
        <f t="shared" si="1"/>
        <v>318.27999999999997</v>
      </c>
      <c r="M36" s="273">
        <f t="shared" si="2"/>
        <v>-19.096799999999998</v>
      </c>
      <c r="N36" s="71">
        <f t="shared" si="3"/>
        <v>47.949999999999996</v>
      </c>
      <c r="O36" s="72">
        <f t="shared" si="4"/>
        <v>318.27999999999997</v>
      </c>
      <c r="P36" s="274">
        <f t="shared" si="5"/>
        <v>15261.525999999998</v>
      </c>
      <c r="Q36" s="291">
        <f t="shared" si="6"/>
        <v>50.92</v>
      </c>
      <c r="S36" s="194"/>
    </row>
    <row r="37" spans="2:19" s="121" customFormat="1" ht="16.5" customHeight="1" x14ac:dyDescent="0.2">
      <c r="B37" s="120"/>
      <c r="C37" s="73" t="s">
        <v>165</v>
      </c>
      <c r="D37" s="73" t="s">
        <v>209</v>
      </c>
      <c r="E37" s="74" t="s">
        <v>210</v>
      </c>
      <c r="F37" s="75" t="s">
        <v>211</v>
      </c>
      <c r="G37" s="76" t="s">
        <v>201</v>
      </c>
      <c r="H37" s="77">
        <v>96.02</v>
      </c>
      <c r="I37" s="78">
        <v>172.71</v>
      </c>
      <c r="J37" s="77">
        <v>16583.599999999999</v>
      </c>
      <c r="K37" s="68">
        <f t="shared" si="0"/>
        <v>-0.12</v>
      </c>
      <c r="L37" s="69">
        <f t="shared" si="1"/>
        <v>172.71</v>
      </c>
      <c r="M37" s="273">
        <f t="shared" si="2"/>
        <v>-20.725200000000001</v>
      </c>
      <c r="N37" s="71">
        <f t="shared" si="3"/>
        <v>95.899999999999991</v>
      </c>
      <c r="O37" s="72">
        <f t="shared" si="4"/>
        <v>172.71</v>
      </c>
      <c r="P37" s="274">
        <f t="shared" si="5"/>
        <v>16562.888999999999</v>
      </c>
      <c r="Q37" s="291">
        <f t="shared" si="6"/>
        <v>101.84</v>
      </c>
      <c r="S37" s="194"/>
    </row>
    <row r="38" spans="2:19" s="170" customFormat="1" ht="22.9" customHeight="1" x14ac:dyDescent="0.2">
      <c r="B38" s="165"/>
      <c r="C38" s="252"/>
      <c r="D38" s="253" t="s">
        <v>4</v>
      </c>
      <c r="E38" s="254" t="s">
        <v>13</v>
      </c>
      <c r="F38" s="254" t="s">
        <v>222</v>
      </c>
      <c r="G38" s="252"/>
      <c r="H38" s="252"/>
      <c r="I38" s="255"/>
      <c r="J38" s="256">
        <f>+SUBTOTAL(9,J39:J40)</f>
        <v>3162.3</v>
      </c>
      <c r="K38" s="261"/>
      <c r="L38" s="262"/>
      <c r="M38" s="279">
        <f>SUM(M39:M40)</f>
        <v>-3.9460000000000002</v>
      </c>
      <c r="N38" s="280"/>
      <c r="O38" s="262"/>
      <c r="P38" s="279">
        <f>SUM(P39:P40)</f>
        <v>3158.3784000000005</v>
      </c>
      <c r="Q38" s="291">
        <f t="shared" si="6"/>
        <v>0</v>
      </c>
      <c r="R38" s="121"/>
      <c r="S38" s="194"/>
    </row>
    <row r="39" spans="2:19" s="121" customFormat="1" ht="16.5" customHeight="1" x14ac:dyDescent="0.2">
      <c r="B39" s="120"/>
      <c r="C39" s="56" t="s">
        <v>168</v>
      </c>
      <c r="D39" s="56" t="s">
        <v>96</v>
      </c>
      <c r="E39" s="57" t="s">
        <v>224</v>
      </c>
      <c r="F39" s="58" t="s">
        <v>225</v>
      </c>
      <c r="G39" s="59" t="s">
        <v>133</v>
      </c>
      <c r="H39" s="60">
        <v>80.14</v>
      </c>
      <c r="I39" s="61">
        <v>32.880000000000003</v>
      </c>
      <c r="J39" s="60">
        <v>2635</v>
      </c>
      <c r="K39" s="68">
        <f t="shared" si="0"/>
        <v>-0.1</v>
      </c>
      <c r="L39" s="69">
        <f t="shared" si="1"/>
        <v>32.880000000000003</v>
      </c>
      <c r="M39" s="273">
        <f t="shared" si="2"/>
        <v>-3.2880000000000003</v>
      </c>
      <c r="N39" s="71">
        <f t="shared" si="3"/>
        <v>80.040000000000006</v>
      </c>
      <c r="O39" s="72">
        <f t="shared" si="4"/>
        <v>32.880000000000003</v>
      </c>
      <c r="P39" s="274">
        <f t="shared" si="5"/>
        <v>2631.7152000000006</v>
      </c>
      <c r="Q39" s="291">
        <f t="shared" si="6"/>
        <v>85</v>
      </c>
      <c r="S39" s="194"/>
    </row>
    <row r="40" spans="2:19" s="121" customFormat="1" ht="16.5" customHeight="1" x14ac:dyDescent="0.2">
      <c r="B40" s="120"/>
      <c r="C40" s="56" t="s">
        <v>171</v>
      </c>
      <c r="D40" s="56" t="s">
        <v>96</v>
      </c>
      <c r="E40" s="57" t="s">
        <v>227</v>
      </c>
      <c r="F40" s="58" t="s">
        <v>228</v>
      </c>
      <c r="G40" s="59" t="s">
        <v>133</v>
      </c>
      <c r="H40" s="60">
        <v>80.14</v>
      </c>
      <c r="I40" s="61">
        <v>6.58</v>
      </c>
      <c r="J40" s="60">
        <v>527.29999999999995</v>
      </c>
      <c r="K40" s="68">
        <f t="shared" si="0"/>
        <v>-0.1</v>
      </c>
      <c r="L40" s="69">
        <f t="shared" si="1"/>
        <v>6.58</v>
      </c>
      <c r="M40" s="273">
        <f t="shared" si="2"/>
        <v>-0.65800000000000003</v>
      </c>
      <c r="N40" s="71">
        <f t="shared" si="3"/>
        <v>80.040000000000006</v>
      </c>
      <c r="O40" s="72">
        <f t="shared" si="4"/>
        <v>6.58</v>
      </c>
      <c r="P40" s="274">
        <f t="shared" si="5"/>
        <v>526.66320000000007</v>
      </c>
      <c r="Q40" s="291">
        <f t="shared" si="6"/>
        <v>85</v>
      </c>
      <c r="S40" s="194"/>
    </row>
    <row r="41" spans="2:19" s="170" customFormat="1" ht="22.9" customHeight="1" x14ac:dyDescent="0.2">
      <c r="B41" s="165"/>
      <c r="C41" s="252"/>
      <c r="D41" s="253" t="s">
        <v>4</v>
      </c>
      <c r="E41" s="254" t="s">
        <v>100</v>
      </c>
      <c r="F41" s="254" t="s">
        <v>229</v>
      </c>
      <c r="G41" s="252"/>
      <c r="H41" s="252"/>
      <c r="I41" s="255"/>
      <c r="J41" s="256">
        <f>+SUBTOTAL(9,J42:J43)</f>
        <v>39083.599999999999</v>
      </c>
      <c r="K41" s="261"/>
      <c r="L41" s="262"/>
      <c r="M41" s="279">
        <f>SUM(M42:M43)</f>
        <v>-32.391599999999997</v>
      </c>
      <c r="N41" s="280"/>
      <c r="O41" s="262"/>
      <c r="P41" s="279">
        <f>SUM(P42:P43)</f>
        <v>39051.244500000001</v>
      </c>
      <c r="Q41" s="291">
        <f t="shared" si="6"/>
        <v>0</v>
      </c>
      <c r="R41" s="121"/>
      <c r="S41" s="194"/>
    </row>
    <row r="42" spans="2:19" s="121" customFormat="1" ht="16.5" customHeight="1" x14ac:dyDescent="0.2">
      <c r="B42" s="120"/>
      <c r="C42" s="56" t="s">
        <v>174</v>
      </c>
      <c r="D42" s="56" t="s">
        <v>96</v>
      </c>
      <c r="E42" s="57" t="s">
        <v>252</v>
      </c>
      <c r="F42" s="58" t="s">
        <v>253</v>
      </c>
      <c r="G42" s="59" t="s">
        <v>150</v>
      </c>
      <c r="H42" s="60">
        <v>11.19</v>
      </c>
      <c r="I42" s="61">
        <v>3239.16</v>
      </c>
      <c r="J42" s="60">
        <v>36246.199999999997</v>
      </c>
      <c r="K42" s="68">
        <f t="shared" si="0"/>
        <v>-0.01</v>
      </c>
      <c r="L42" s="69">
        <f t="shared" si="1"/>
        <v>3239.16</v>
      </c>
      <c r="M42" s="273">
        <f t="shared" si="2"/>
        <v>-32.391599999999997</v>
      </c>
      <c r="N42" s="71">
        <f t="shared" si="3"/>
        <v>11.18</v>
      </c>
      <c r="O42" s="72">
        <f t="shared" si="4"/>
        <v>3239.16</v>
      </c>
      <c r="P42" s="274">
        <f t="shared" si="5"/>
        <v>36213.808799999999</v>
      </c>
      <c r="Q42" s="291">
        <f t="shared" si="6"/>
        <v>11.87</v>
      </c>
      <c r="S42" s="194"/>
    </row>
    <row r="43" spans="2:19" s="121" customFormat="1" ht="16.5" customHeight="1" x14ac:dyDescent="0.2">
      <c r="B43" s="120"/>
      <c r="C43" s="56" t="s">
        <v>177</v>
      </c>
      <c r="D43" s="56" t="s">
        <v>96</v>
      </c>
      <c r="E43" s="57" t="s">
        <v>255</v>
      </c>
      <c r="F43" s="58" t="s">
        <v>256</v>
      </c>
      <c r="G43" s="59" t="s">
        <v>150</v>
      </c>
      <c r="H43" s="60">
        <v>0.89</v>
      </c>
      <c r="I43" s="61">
        <v>3188.13</v>
      </c>
      <c r="J43" s="60">
        <v>2837.4</v>
      </c>
      <c r="K43" s="68">
        <f t="shared" si="0"/>
        <v>0</v>
      </c>
      <c r="L43" s="69">
        <f t="shared" si="1"/>
        <v>3188.13</v>
      </c>
      <c r="M43" s="273">
        <f t="shared" si="2"/>
        <v>0</v>
      </c>
      <c r="N43" s="71">
        <f t="shared" si="3"/>
        <v>0.89</v>
      </c>
      <c r="O43" s="72">
        <f t="shared" si="4"/>
        <v>3188.13</v>
      </c>
      <c r="P43" s="274">
        <f t="shared" si="5"/>
        <v>2837.4357</v>
      </c>
      <c r="Q43" s="291">
        <f t="shared" si="6"/>
        <v>0.94</v>
      </c>
      <c r="R43" s="186" t="s">
        <v>1141</v>
      </c>
      <c r="S43" s="194"/>
    </row>
    <row r="44" spans="2:19" s="170" customFormat="1" ht="22.9" customHeight="1" x14ac:dyDescent="0.2">
      <c r="B44" s="165"/>
      <c r="C44" s="252"/>
      <c r="D44" s="253" t="s">
        <v>4</v>
      </c>
      <c r="E44" s="254" t="s">
        <v>105</v>
      </c>
      <c r="F44" s="254" t="s">
        <v>257</v>
      </c>
      <c r="G44" s="252"/>
      <c r="H44" s="252"/>
      <c r="I44" s="255"/>
      <c r="J44" s="256">
        <f>+SUBTOTAL(9,J45:J53)</f>
        <v>77258.999999999985</v>
      </c>
      <c r="K44" s="261"/>
      <c r="L44" s="262"/>
      <c r="M44" s="279">
        <f>SUM(M45:M53)</f>
        <v>0</v>
      </c>
      <c r="N44" s="280"/>
      <c r="O44" s="262"/>
      <c r="P44" s="279">
        <f>SUM(P45:P53)</f>
        <v>77258.922000000006</v>
      </c>
      <c r="Q44" s="291">
        <f t="shared" si="6"/>
        <v>0</v>
      </c>
      <c r="R44" s="121"/>
      <c r="S44" s="194"/>
    </row>
    <row r="45" spans="2:19" s="121" customFormat="1" ht="16.5" customHeight="1" x14ac:dyDescent="0.2">
      <c r="B45" s="120"/>
      <c r="C45" s="56" t="s">
        <v>180</v>
      </c>
      <c r="D45" s="56" t="s">
        <v>96</v>
      </c>
      <c r="E45" s="57" t="s">
        <v>259</v>
      </c>
      <c r="F45" s="58" t="s">
        <v>260</v>
      </c>
      <c r="G45" s="59" t="s">
        <v>108</v>
      </c>
      <c r="H45" s="60">
        <v>3.3</v>
      </c>
      <c r="I45" s="61">
        <v>155.66999999999999</v>
      </c>
      <c r="J45" s="60">
        <v>513.70000000000005</v>
      </c>
      <c r="K45" s="68">
        <v>0</v>
      </c>
      <c r="L45" s="69">
        <f t="shared" si="1"/>
        <v>155.66999999999999</v>
      </c>
      <c r="M45" s="273">
        <f t="shared" si="2"/>
        <v>0</v>
      </c>
      <c r="N45" s="71">
        <f t="shared" si="3"/>
        <v>3.3</v>
      </c>
      <c r="O45" s="72">
        <f t="shared" si="4"/>
        <v>155.66999999999999</v>
      </c>
      <c r="P45" s="274">
        <f t="shared" si="5"/>
        <v>513.7109999999999</v>
      </c>
      <c r="Q45" s="291">
        <f t="shared" si="6"/>
        <v>3.5</v>
      </c>
      <c r="S45" s="194"/>
    </row>
    <row r="46" spans="2:19" s="121" customFormat="1" ht="16.5" customHeight="1" x14ac:dyDescent="0.2">
      <c r="B46" s="120"/>
      <c r="C46" s="56" t="s">
        <v>183</v>
      </c>
      <c r="D46" s="56" t="s">
        <v>96</v>
      </c>
      <c r="E46" s="57" t="s">
        <v>262</v>
      </c>
      <c r="F46" s="58" t="s">
        <v>263</v>
      </c>
      <c r="G46" s="59" t="s">
        <v>108</v>
      </c>
      <c r="H46" s="60">
        <v>90.2</v>
      </c>
      <c r="I46" s="61">
        <v>302.54000000000002</v>
      </c>
      <c r="J46" s="60">
        <v>27289.1</v>
      </c>
      <c r="K46" s="68">
        <v>0</v>
      </c>
      <c r="L46" s="69">
        <f t="shared" si="1"/>
        <v>302.54000000000002</v>
      </c>
      <c r="M46" s="273">
        <f t="shared" si="2"/>
        <v>0</v>
      </c>
      <c r="N46" s="71">
        <f t="shared" si="3"/>
        <v>90.2</v>
      </c>
      <c r="O46" s="72">
        <f t="shared" si="4"/>
        <v>302.54000000000002</v>
      </c>
      <c r="P46" s="274">
        <f t="shared" si="5"/>
        <v>27289.108000000004</v>
      </c>
      <c r="Q46" s="291">
        <f t="shared" si="6"/>
        <v>95.67</v>
      </c>
      <c r="S46" s="194"/>
    </row>
    <row r="47" spans="2:19" s="121" customFormat="1" ht="16.5" customHeight="1" x14ac:dyDescent="0.2">
      <c r="B47" s="120"/>
      <c r="C47" s="56" t="s">
        <v>186</v>
      </c>
      <c r="D47" s="56" t="s">
        <v>96</v>
      </c>
      <c r="E47" s="57" t="s">
        <v>265</v>
      </c>
      <c r="F47" s="58" t="s">
        <v>266</v>
      </c>
      <c r="G47" s="59" t="s">
        <v>108</v>
      </c>
      <c r="H47" s="60">
        <v>61.6</v>
      </c>
      <c r="I47" s="61">
        <v>86.36</v>
      </c>
      <c r="J47" s="60">
        <v>5319.8</v>
      </c>
      <c r="K47" s="68">
        <v>0</v>
      </c>
      <c r="L47" s="69">
        <f t="shared" si="1"/>
        <v>86.36</v>
      </c>
      <c r="M47" s="273">
        <f t="shared" si="2"/>
        <v>0</v>
      </c>
      <c r="N47" s="71">
        <f t="shared" si="3"/>
        <v>61.6</v>
      </c>
      <c r="O47" s="72">
        <f t="shared" si="4"/>
        <v>86.36</v>
      </c>
      <c r="P47" s="274">
        <f t="shared" si="5"/>
        <v>5319.7759999999998</v>
      </c>
      <c r="Q47" s="291">
        <f t="shared" si="6"/>
        <v>65.34</v>
      </c>
      <c r="S47" s="194"/>
    </row>
    <row r="48" spans="2:19" s="121" customFormat="1" ht="16.5" customHeight="1" x14ac:dyDescent="0.2">
      <c r="B48" s="120"/>
      <c r="C48" s="56" t="s">
        <v>189</v>
      </c>
      <c r="D48" s="56" t="s">
        <v>96</v>
      </c>
      <c r="E48" s="57" t="s">
        <v>268</v>
      </c>
      <c r="F48" s="58" t="s">
        <v>269</v>
      </c>
      <c r="G48" s="59" t="s">
        <v>108</v>
      </c>
      <c r="H48" s="60">
        <v>28.6</v>
      </c>
      <c r="I48" s="61">
        <v>14.18</v>
      </c>
      <c r="J48" s="60">
        <v>405.5</v>
      </c>
      <c r="K48" s="68">
        <v>0</v>
      </c>
      <c r="L48" s="69">
        <f t="shared" si="1"/>
        <v>14.18</v>
      </c>
      <c r="M48" s="273">
        <f t="shared" si="2"/>
        <v>0</v>
      </c>
      <c r="N48" s="71">
        <f t="shared" si="3"/>
        <v>28.6</v>
      </c>
      <c r="O48" s="72">
        <f t="shared" si="4"/>
        <v>14.18</v>
      </c>
      <c r="P48" s="274">
        <f t="shared" si="5"/>
        <v>405.548</v>
      </c>
      <c r="Q48" s="291">
        <f t="shared" si="6"/>
        <v>30.33</v>
      </c>
      <c r="S48" s="194"/>
    </row>
    <row r="49" spans="2:19" s="121" customFormat="1" ht="16.5" customHeight="1" x14ac:dyDescent="0.2">
      <c r="B49" s="120"/>
      <c r="C49" s="56" t="s">
        <v>192</v>
      </c>
      <c r="D49" s="56" t="s">
        <v>96</v>
      </c>
      <c r="E49" s="57" t="s">
        <v>271</v>
      </c>
      <c r="F49" s="58" t="s">
        <v>272</v>
      </c>
      <c r="G49" s="59" t="s">
        <v>108</v>
      </c>
      <c r="H49" s="60">
        <v>54.6</v>
      </c>
      <c r="I49" s="61">
        <v>20.62</v>
      </c>
      <c r="J49" s="60">
        <v>1125.9000000000001</v>
      </c>
      <c r="K49" s="68">
        <v>0</v>
      </c>
      <c r="L49" s="69">
        <f t="shared" si="1"/>
        <v>20.62</v>
      </c>
      <c r="M49" s="273">
        <f t="shared" si="2"/>
        <v>0</v>
      </c>
      <c r="N49" s="71">
        <f t="shared" si="3"/>
        <v>54.6</v>
      </c>
      <c r="O49" s="72">
        <f t="shared" si="4"/>
        <v>20.62</v>
      </c>
      <c r="P49" s="274">
        <f t="shared" si="5"/>
        <v>1125.8520000000001</v>
      </c>
      <c r="Q49" s="291">
        <f t="shared" si="6"/>
        <v>57.91</v>
      </c>
      <c r="S49" s="194"/>
    </row>
    <row r="50" spans="2:19" s="121" customFormat="1" ht="16.5" customHeight="1" x14ac:dyDescent="0.2">
      <c r="B50" s="120"/>
      <c r="C50" s="56" t="s">
        <v>195</v>
      </c>
      <c r="D50" s="56" t="s">
        <v>96</v>
      </c>
      <c r="E50" s="57" t="s">
        <v>274</v>
      </c>
      <c r="F50" s="58" t="s">
        <v>275</v>
      </c>
      <c r="G50" s="59" t="s">
        <v>108</v>
      </c>
      <c r="H50" s="60">
        <v>54.6</v>
      </c>
      <c r="I50" s="61">
        <v>396.71</v>
      </c>
      <c r="J50" s="60">
        <v>21660.400000000001</v>
      </c>
      <c r="K50" s="68">
        <v>0</v>
      </c>
      <c r="L50" s="69">
        <f t="shared" si="1"/>
        <v>396.71</v>
      </c>
      <c r="M50" s="273">
        <f t="shared" si="2"/>
        <v>0</v>
      </c>
      <c r="N50" s="71">
        <f t="shared" si="3"/>
        <v>54.6</v>
      </c>
      <c r="O50" s="72">
        <f t="shared" si="4"/>
        <v>396.71</v>
      </c>
      <c r="P50" s="274">
        <f t="shared" si="5"/>
        <v>21660.365999999998</v>
      </c>
      <c r="Q50" s="291">
        <f t="shared" si="6"/>
        <v>57.91</v>
      </c>
      <c r="S50" s="194"/>
    </row>
    <row r="51" spans="2:19" s="121" customFormat="1" ht="16.5" customHeight="1" x14ac:dyDescent="0.2">
      <c r="B51" s="120"/>
      <c r="C51" s="56" t="s">
        <v>198</v>
      </c>
      <c r="D51" s="56" t="s">
        <v>96</v>
      </c>
      <c r="E51" s="57" t="s">
        <v>277</v>
      </c>
      <c r="F51" s="58" t="s">
        <v>278</v>
      </c>
      <c r="G51" s="59" t="s">
        <v>108</v>
      </c>
      <c r="H51" s="60">
        <v>28.6</v>
      </c>
      <c r="I51" s="61">
        <v>559.51</v>
      </c>
      <c r="J51" s="60">
        <v>16002</v>
      </c>
      <c r="K51" s="68">
        <v>0</v>
      </c>
      <c r="L51" s="69">
        <f t="shared" si="1"/>
        <v>559.51</v>
      </c>
      <c r="M51" s="273">
        <f t="shared" si="2"/>
        <v>0</v>
      </c>
      <c r="N51" s="71">
        <f t="shared" si="3"/>
        <v>28.6</v>
      </c>
      <c r="O51" s="72">
        <f t="shared" si="4"/>
        <v>559.51</v>
      </c>
      <c r="P51" s="274">
        <f t="shared" si="5"/>
        <v>16001.986000000001</v>
      </c>
      <c r="Q51" s="291">
        <f t="shared" si="6"/>
        <v>30.33</v>
      </c>
      <c r="S51" s="194"/>
    </row>
    <row r="52" spans="2:19" s="121" customFormat="1" ht="16.5" customHeight="1" x14ac:dyDescent="0.2">
      <c r="B52" s="120"/>
      <c r="C52" s="56" t="s">
        <v>202</v>
      </c>
      <c r="D52" s="56" t="s">
        <v>96</v>
      </c>
      <c r="E52" s="57" t="s">
        <v>283</v>
      </c>
      <c r="F52" s="58" t="s">
        <v>284</v>
      </c>
      <c r="G52" s="59" t="s">
        <v>108</v>
      </c>
      <c r="H52" s="60">
        <v>3.3</v>
      </c>
      <c r="I52" s="61">
        <v>745.05</v>
      </c>
      <c r="J52" s="60">
        <v>2458.6999999999998</v>
      </c>
      <c r="K52" s="68">
        <v>0</v>
      </c>
      <c r="L52" s="69">
        <f t="shared" si="1"/>
        <v>745.05</v>
      </c>
      <c r="M52" s="273">
        <f t="shared" si="2"/>
        <v>0</v>
      </c>
      <c r="N52" s="71">
        <f t="shared" si="3"/>
        <v>3.3</v>
      </c>
      <c r="O52" s="72">
        <f t="shared" si="4"/>
        <v>745.05</v>
      </c>
      <c r="P52" s="274">
        <f t="shared" si="5"/>
        <v>2458.6649999999995</v>
      </c>
      <c r="Q52" s="291">
        <f t="shared" si="6"/>
        <v>3.5</v>
      </c>
      <c r="S52" s="194"/>
    </row>
    <row r="53" spans="2:19" s="121" customFormat="1" ht="16.5" customHeight="1" x14ac:dyDescent="0.2">
      <c r="B53" s="120"/>
      <c r="C53" s="73" t="s">
        <v>205</v>
      </c>
      <c r="D53" s="73" t="s">
        <v>209</v>
      </c>
      <c r="E53" s="74" t="s">
        <v>286</v>
      </c>
      <c r="F53" s="75" t="s">
        <v>287</v>
      </c>
      <c r="G53" s="76" t="s">
        <v>201</v>
      </c>
      <c r="H53" s="77">
        <v>0.66</v>
      </c>
      <c r="I53" s="78">
        <v>3763.5</v>
      </c>
      <c r="J53" s="77">
        <v>2483.9</v>
      </c>
      <c r="K53" s="68">
        <v>0</v>
      </c>
      <c r="L53" s="69">
        <f t="shared" si="1"/>
        <v>3763.5</v>
      </c>
      <c r="M53" s="273">
        <f t="shared" si="2"/>
        <v>0</v>
      </c>
      <c r="N53" s="71">
        <f t="shared" si="3"/>
        <v>0.66</v>
      </c>
      <c r="O53" s="72">
        <f t="shared" si="4"/>
        <v>3763.5</v>
      </c>
      <c r="P53" s="274">
        <f t="shared" si="5"/>
        <v>2483.9100000000003</v>
      </c>
      <c r="Q53" s="291">
        <f t="shared" si="6"/>
        <v>0.7</v>
      </c>
      <c r="S53" s="194"/>
    </row>
    <row r="54" spans="2:19" s="170" customFormat="1" ht="22.9" customHeight="1" x14ac:dyDescent="0.2">
      <c r="B54" s="165"/>
      <c r="C54" s="252"/>
      <c r="D54" s="253" t="s">
        <v>4</v>
      </c>
      <c r="E54" s="254" t="s">
        <v>115</v>
      </c>
      <c r="F54" s="254" t="s">
        <v>288</v>
      </c>
      <c r="G54" s="252"/>
      <c r="H54" s="252"/>
      <c r="I54" s="255"/>
      <c r="J54" s="256">
        <f>+SUBTOTAL(9,J55:J74)</f>
        <v>240510.29999999996</v>
      </c>
      <c r="K54" s="261"/>
      <c r="L54" s="262"/>
      <c r="M54" s="279">
        <f>SUM(M55:M74)</f>
        <v>-167.77</v>
      </c>
      <c r="N54" s="280"/>
      <c r="O54" s="262"/>
      <c r="P54" s="279">
        <f>SUM(P55:P74)</f>
        <v>240342.52659999995</v>
      </c>
      <c r="Q54" s="291">
        <f t="shared" si="6"/>
        <v>0</v>
      </c>
      <c r="R54" s="121"/>
      <c r="S54" s="194"/>
    </row>
    <row r="55" spans="2:19" s="121" customFormat="1" ht="16.5" customHeight="1" x14ac:dyDescent="0.2">
      <c r="B55" s="120"/>
      <c r="C55" s="56" t="s">
        <v>208</v>
      </c>
      <c r="D55" s="56" t="s">
        <v>96</v>
      </c>
      <c r="E55" s="57" t="s">
        <v>296</v>
      </c>
      <c r="F55" s="58" t="s">
        <v>297</v>
      </c>
      <c r="G55" s="59" t="s">
        <v>133</v>
      </c>
      <c r="H55" s="60">
        <v>80.14</v>
      </c>
      <c r="I55" s="61">
        <v>552.39</v>
      </c>
      <c r="J55" s="60">
        <v>44268.5</v>
      </c>
      <c r="K55" s="68">
        <f t="shared" ref="K55:K56" si="7">ROUND(84.9/85*Q55-Q55,2)</f>
        <v>-0.1</v>
      </c>
      <c r="L55" s="69">
        <f t="shared" si="1"/>
        <v>552.39</v>
      </c>
      <c r="M55" s="273">
        <f t="shared" si="2"/>
        <v>-55.239000000000004</v>
      </c>
      <c r="N55" s="71">
        <f t="shared" si="3"/>
        <v>80.040000000000006</v>
      </c>
      <c r="O55" s="72">
        <f t="shared" si="4"/>
        <v>552.39</v>
      </c>
      <c r="P55" s="274">
        <f t="shared" si="5"/>
        <v>44213.295600000005</v>
      </c>
      <c r="Q55" s="291">
        <f t="shared" si="6"/>
        <v>85</v>
      </c>
      <c r="S55" s="194"/>
    </row>
    <row r="56" spans="2:19" s="121" customFormat="1" ht="16.5" customHeight="1" x14ac:dyDescent="0.2">
      <c r="B56" s="120"/>
      <c r="C56" s="73" t="s">
        <v>212</v>
      </c>
      <c r="D56" s="73" t="s">
        <v>209</v>
      </c>
      <c r="E56" s="74" t="s">
        <v>299</v>
      </c>
      <c r="F56" s="75" t="s">
        <v>500</v>
      </c>
      <c r="G56" s="76" t="s">
        <v>133</v>
      </c>
      <c r="H56" s="77">
        <v>80.14</v>
      </c>
      <c r="I56" s="78">
        <v>1060.07</v>
      </c>
      <c r="J56" s="77">
        <v>84954</v>
      </c>
      <c r="K56" s="68">
        <f t="shared" si="7"/>
        <v>-0.1</v>
      </c>
      <c r="L56" s="69">
        <f t="shared" si="1"/>
        <v>1060.07</v>
      </c>
      <c r="M56" s="273">
        <f t="shared" si="2"/>
        <v>-106.00700000000001</v>
      </c>
      <c r="N56" s="71">
        <f t="shared" si="3"/>
        <v>80.040000000000006</v>
      </c>
      <c r="O56" s="72">
        <f t="shared" si="4"/>
        <v>1060.07</v>
      </c>
      <c r="P56" s="274">
        <f t="shared" si="5"/>
        <v>84848.002800000002</v>
      </c>
      <c r="Q56" s="291">
        <f t="shared" si="6"/>
        <v>85</v>
      </c>
      <c r="S56" s="194"/>
    </row>
    <row r="57" spans="2:19" s="121" customFormat="1" ht="16.5" customHeight="1" x14ac:dyDescent="0.2">
      <c r="B57" s="120"/>
      <c r="C57" s="73" t="s">
        <v>215</v>
      </c>
      <c r="D57" s="73" t="s">
        <v>209</v>
      </c>
      <c r="E57" s="74" t="s">
        <v>302</v>
      </c>
      <c r="F57" s="75" t="s">
        <v>303</v>
      </c>
      <c r="G57" s="76" t="s">
        <v>99</v>
      </c>
      <c r="H57" s="77">
        <v>4</v>
      </c>
      <c r="I57" s="78">
        <v>739.15</v>
      </c>
      <c r="J57" s="77">
        <v>2956.6</v>
      </c>
      <c r="K57" s="68">
        <v>0</v>
      </c>
      <c r="L57" s="69">
        <f t="shared" si="1"/>
        <v>739.15</v>
      </c>
      <c r="M57" s="273">
        <f t="shared" si="2"/>
        <v>0</v>
      </c>
      <c r="N57" s="71">
        <f t="shared" si="3"/>
        <v>4</v>
      </c>
      <c r="O57" s="72">
        <f t="shared" si="4"/>
        <v>739.15</v>
      </c>
      <c r="P57" s="274">
        <f t="shared" si="5"/>
        <v>2956.6</v>
      </c>
      <c r="Q57" s="291">
        <f t="shared" si="6"/>
        <v>4.24</v>
      </c>
      <c r="S57" s="194"/>
    </row>
    <row r="58" spans="2:19" s="121" customFormat="1" ht="16.5" customHeight="1" x14ac:dyDescent="0.2">
      <c r="B58" s="120"/>
      <c r="C58" s="56" t="s">
        <v>219</v>
      </c>
      <c r="D58" s="56" t="s">
        <v>96</v>
      </c>
      <c r="E58" s="57" t="s">
        <v>320</v>
      </c>
      <c r="F58" s="58" t="s">
        <v>321</v>
      </c>
      <c r="G58" s="59" t="s">
        <v>99</v>
      </c>
      <c r="H58" s="60">
        <v>1</v>
      </c>
      <c r="I58" s="61">
        <v>260.41000000000003</v>
      </c>
      <c r="J58" s="60">
        <v>260.39999999999998</v>
      </c>
      <c r="K58" s="68">
        <v>0</v>
      </c>
      <c r="L58" s="69">
        <f t="shared" si="1"/>
        <v>260.41000000000003</v>
      </c>
      <c r="M58" s="273">
        <f t="shared" si="2"/>
        <v>0</v>
      </c>
      <c r="N58" s="71">
        <f t="shared" si="3"/>
        <v>1</v>
      </c>
      <c r="O58" s="72">
        <f t="shared" si="4"/>
        <v>260.41000000000003</v>
      </c>
      <c r="P58" s="274">
        <f t="shared" si="5"/>
        <v>260.41000000000003</v>
      </c>
      <c r="Q58" s="291">
        <f t="shared" si="6"/>
        <v>1.06</v>
      </c>
      <c r="S58" s="194"/>
    </row>
    <row r="59" spans="2:19" s="121" customFormat="1" ht="16.5" customHeight="1" x14ac:dyDescent="0.2">
      <c r="B59" s="120"/>
      <c r="C59" s="73" t="s">
        <v>223</v>
      </c>
      <c r="D59" s="73" t="s">
        <v>209</v>
      </c>
      <c r="E59" s="74" t="s">
        <v>326</v>
      </c>
      <c r="F59" s="75" t="s">
        <v>327</v>
      </c>
      <c r="G59" s="76" t="s">
        <v>99</v>
      </c>
      <c r="H59" s="77">
        <v>1.02</v>
      </c>
      <c r="I59" s="78">
        <v>1801.85</v>
      </c>
      <c r="J59" s="77">
        <v>1837.9</v>
      </c>
      <c r="K59" s="68">
        <v>0</v>
      </c>
      <c r="L59" s="69">
        <f t="shared" si="1"/>
        <v>1801.85</v>
      </c>
      <c r="M59" s="273">
        <f t="shared" si="2"/>
        <v>0</v>
      </c>
      <c r="N59" s="71">
        <f t="shared" si="3"/>
        <v>1.02</v>
      </c>
      <c r="O59" s="72">
        <f t="shared" si="4"/>
        <v>1801.85</v>
      </c>
      <c r="P59" s="274">
        <f t="shared" si="5"/>
        <v>1837.8869999999999</v>
      </c>
      <c r="Q59" s="291">
        <f t="shared" si="6"/>
        <v>1.08</v>
      </c>
      <c r="S59" s="194"/>
    </row>
    <row r="60" spans="2:19" s="121" customFormat="1" ht="16.5" customHeight="1" x14ac:dyDescent="0.2">
      <c r="B60" s="120"/>
      <c r="C60" s="56" t="s">
        <v>226</v>
      </c>
      <c r="D60" s="56" t="s">
        <v>96</v>
      </c>
      <c r="E60" s="57" t="s">
        <v>329</v>
      </c>
      <c r="F60" s="58" t="s">
        <v>330</v>
      </c>
      <c r="G60" s="59" t="s">
        <v>99</v>
      </c>
      <c r="H60" s="60">
        <v>5</v>
      </c>
      <c r="I60" s="61">
        <v>219.64</v>
      </c>
      <c r="J60" s="60">
        <v>1098.2</v>
      </c>
      <c r="K60" s="68">
        <v>0</v>
      </c>
      <c r="L60" s="69">
        <f t="shared" si="1"/>
        <v>219.64</v>
      </c>
      <c r="M60" s="273">
        <f t="shared" si="2"/>
        <v>0</v>
      </c>
      <c r="N60" s="71">
        <f t="shared" si="3"/>
        <v>5</v>
      </c>
      <c r="O60" s="72">
        <f t="shared" si="4"/>
        <v>219.64</v>
      </c>
      <c r="P60" s="274">
        <f t="shared" si="5"/>
        <v>1098.1999999999998</v>
      </c>
      <c r="Q60" s="291">
        <f t="shared" si="6"/>
        <v>5.3</v>
      </c>
      <c r="S60" s="194"/>
    </row>
    <row r="61" spans="2:19" s="121" customFormat="1" ht="16.5" customHeight="1" x14ac:dyDescent="0.2">
      <c r="B61" s="120"/>
      <c r="C61" s="73" t="s">
        <v>230</v>
      </c>
      <c r="D61" s="73" t="s">
        <v>209</v>
      </c>
      <c r="E61" s="74" t="s">
        <v>332</v>
      </c>
      <c r="F61" s="75" t="s">
        <v>333</v>
      </c>
      <c r="G61" s="76" t="s">
        <v>99</v>
      </c>
      <c r="H61" s="77">
        <v>2.0299999999999998</v>
      </c>
      <c r="I61" s="78">
        <v>1129.77</v>
      </c>
      <c r="J61" s="77">
        <v>2293.4</v>
      </c>
      <c r="K61" s="68">
        <v>0</v>
      </c>
      <c r="L61" s="69">
        <f t="shared" si="1"/>
        <v>1129.77</v>
      </c>
      <c r="M61" s="273">
        <f t="shared" si="2"/>
        <v>0</v>
      </c>
      <c r="N61" s="71">
        <f t="shared" si="3"/>
        <v>2.0299999999999998</v>
      </c>
      <c r="O61" s="72">
        <f t="shared" si="4"/>
        <v>1129.77</v>
      </c>
      <c r="P61" s="274">
        <f t="shared" si="5"/>
        <v>2293.4330999999997</v>
      </c>
      <c r="Q61" s="291">
        <f t="shared" si="6"/>
        <v>2.15</v>
      </c>
      <c r="S61" s="194"/>
    </row>
    <row r="62" spans="2:19" s="121" customFormat="1" ht="16.5" customHeight="1" x14ac:dyDescent="0.2">
      <c r="B62" s="120"/>
      <c r="C62" s="73" t="s">
        <v>233</v>
      </c>
      <c r="D62" s="73" t="s">
        <v>209</v>
      </c>
      <c r="E62" s="74" t="s">
        <v>335</v>
      </c>
      <c r="F62" s="75" t="s">
        <v>336</v>
      </c>
      <c r="G62" s="76" t="s">
        <v>99</v>
      </c>
      <c r="H62" s="77">
        <v>3.05</v>
      </c>
      <c r="I62" s="78">
        <v>1129.77</v>
      </c>
      <c r="J62" s="77">
        <v>3445.8</v>
      </c>
      <c r="K62" s="68">
        <v>0</v>
      </c>
      <c r="L62" s="69">
        <f t="shared" si="1"/>
        <v>1129.77</v>
      </c>
      <c r="M62" s="273">
        <f t="shared" si="2"/>
        <v>0</v>
      </c>
      <c r="N62" s="71">
        <f t="shared" si="3"/>
        <v>3.05</v>
      </c>
      <c r="O62" s="72">
        <f t="shared" si="4"/>
        <v>1129.77</v>
      </c>
      <c r="P62" s="274">
        <f t="shared" si="5"/>
        <v>3445.7984999999999</v>
      </c>
      <c r="Q62" s="291">
        <f t="shared" si="6"/>
        <v>3.23</v>
      </c>
      <c r="S62" s="194"/>
    </row>
    <row r="63" spans="2:19" s="121" customFormat="1" ht="33.75" customHeight="1" x14ac:dyDescent="0.2">
      <c r="B63" s="120"/>
      <c r="C63" s="56" t="s">
        <v>236</v>
      </c>
      <c r="D63" s="56" t="s">
        <v>96</v>
      </c>
      <c r="E63" s="57" t="s">
        <v>347</v>
      </c>
      <c r="F63" s="58" t="s">
        <v>348</v>
      </c>
      <c r="G63" s="59" t="s">
        <v>133</v>
      </c>
      <c r="H63" s="60">
        <v>80.14</v>
      </c>
      <c r="I63" s="61">
        <v>56.03</v>
      </c>
      <c r="J63" s="60">
        <v>4490.2</v>
      </c>
      <c r="K63" s="68">
        <f t="shared" ref="K63" si="8">ROUND(84.9/85*Q63-Q63,2)</f>
        <v>-0.1</v>
      </c>
      <c r="L63" s="69">
        <f t="shared" si="1"/>
        <v>56.03</v>
      </c>
      <c r="M63" s="273">
        <f t="shared" si="2"/>
        <v>-5.6030000000000006</v>
      </c>
      <c r="N63" s="71">
        <f t="shared" si="3"/>
        <v>80.040000000000006</v>
      </c>
      <c r="O63" s="72">
        <f t="shared" si="4"/>
        <v>56.03</v>
      </c>
      <c r="P63" s="274">
        <f t="shared" si="5"/>
        <v>4484.6412</v>
      </c>
      <c r="Q63" s="291">
        <f t="shared" si="6"/>
        <v>85</v>
      </c>
      <c r="S63" s="194"/>
    </row>
    <row r="64" spans="2:19" s="121" customFormat="1" ht="16.5" customHeight="1" x14ac:dyDescent="0.2">
      <c r="B64" s="120"/>
      <c r="C64" s="56" t="s">
        <v>239</v>
      </c>
      <c r="D64" s="56" t="s">
        <v>96</v>
      </c>
      <c r="E64" s="57" t="s">
        <v>350</v>
      </c>
      <c r="F64" s="58" t="s">
        <v>351</v>
      </c>
      <c r="G64" s="59" t="s">
        <v>99</v>
      </c>
      <c r="H64" s="60">
        <v>6</v>
      </c>
      <c r="I64" s="61">
        <v>808.86</v>
      </c>
      <c r="J64" s="60">
        <v>4853.2</v>
      </c>
      <c r="K64" s="68">
        <v>0</v>
      </c>
      <c r="L64" s="69">
        <f t="shared" si="1"/>
        <v>808.86</v>
      </c>
      <c r="M64" s="273">
        <f t="shared" si="2"/>
        <v>0</v>
      </c>
      <c r="N64" s="71">
        <f t="shared" si="3"/>
        <v>6</v>
      </c>
      <c r="O64" s="72">
        <f t="shared" si="4"/>
        <v>808.86</v>
      </c>
      <c r="P64" s="274">
        <f t="shared" si="5"/>
        <v>4853.16</v>
      </c>
      <c r="Q64" s="291">
        <f t="shared" si="6"/>
        <v>6.36</v>
      </c>
      <c r="S64" s="194"/>
    </row>
    <row r="65" spans="2:19" s="121" customFormat="1" ht="16.5" customHeight="1" x14ac:dyDescent="0.2">
      <c r="B65" s="120"/>
      <c r="C65" s="73" t="s">
        <v>242</v>
      </c>
      <c r="D65" s="73" t="s">
        <v>209</v>
      </c>
      <c r="E65" s="74" t="s">
        <v>356</v>
      </c>
      <c r="F65" s="75" t="s">
        <v>357</v>
      </c>
      <c r="G65" s="76" t="s">
        <v>99</v>
      </c>
      <c r="H65" s="77">
        <v>3</v>
      </c>
      <c r="I65" s="78">
        <v>1202.1099999999999</v>
      </c>
      <c r="J65" s="77">
        <v>3606.3</v>
      </c>
      <c r="K65" s="68">
        <v>0</v>
      </c>
      <c r="L65" s="69">
        <f t="shared" si="1"/>
        <v>1202.1099999999999</v>
      </c>
      <c r="M65" s="273">
        <f t="shared" si="2"/>
        <v>0</v>
      </c>
      <c r="N65" s="71">
        <f t="shared" si="3"/>
        <v>3</v>
      </c>
      <c r="O65" s="72">
        <f t="shared" si="4"/>
        <v>1202.1099999999999</v>
      </c>
      <c r="P65" s="274">
        <f t="shared" si="5"/>
        <v>3606.33</v>
      </c>
      <c r="Q65" s="291">
        <f t="shared" si="6"/>
        <v>3.18</v>
      </c>
      <c r="S65" s="194"/>
    </row>
    <row r="66" spans="2:19" s="121" customFormat="1" ht="16.5" customHeight="1" x14ac:dyDescent="0.2">
      <c r="B66" s="120"/>
      <c r="C66" s="73" t="s">
        <v>245</v>
      </c>
      <c r="D66" s="73" t="s">
        <v>209</v>
      </c>
      <c r="E66" s="74" t="s">
        <v>359</v>
      </c>
      <c r="F66" s="75" t="s">
        <v>360</v>
      </c>
      <c r="G66" s="76" t="s">
        <v>99</v>
      </c>
      <c r="H66" s="77">
        <v>3</v>
      </c>
      <c r="I66" s="78">
        <v>775.98</v>
      </c>
      <c r="J66" s="77">
        <v>2327.9</v>
      </c>
      <c r="K66" s="68">
        <v>0</v>
      </c>
      <c r="L66" s="69">
        <f t="shared" si="1"/>
        <v>775.98</v>
      </c>
      <c r="M66" s="273">
        <f t="shared" si="2"/>
        <v>0</v>
      </c>
      <c r="N66" s="71">
        <f t="shared" si="3"/>
        <v>3</v>
      </c>
      <c r="O66" s="72">
        <f t="shared" si="4"/>
        <v>775.98</v>
      </c>
      <c r="P66" s="274">
        <f t="shared" si="5"/>
        <v>2327.94</v>
      </c>
      <c r="Q66" s="291">
        <f t="shared" si="6"/>
        <v>3.18</v>
      </c>
      <c r="S66" s="194"/>
    </row>
    <row r="67" spans="2:19" s="121" customFormat="1" ht="16.5" customHeight="1" x14ac:dyDescent="0.2">
      <c r="B67" s="120"/>
      <c r="C67" s="73" t="s">
        <v>248</v>
      </c>
      <c r="D67" s="73" t="s">
        <v>209</v>
      </c>
      <c r="E67" s="74" t="s">
        <v>362</v>
      </c>
      <c r="F67" s="75" t="s">
        <v>363</v>
      </c>
      <c r="G67" s="76" t="s">
        <v>99</v>
      </c>
      <c r="H67" s="77">
        <v>9</v>
      </c>
      <c r="I67" s="78">
        <v>211.75</v>
      </c>
      <c r="J67" s="77">
        <v>1905.8</v>
      </c>
      <c r="K67" s="68">
        <v>0</v>
      </c>
      <c r="L67" s="69">
        <f t="shared" si="1"/>
        <v>211.75</v>
      </c>
      <c r="M67" s="273">
        <f t="shared" si="2"/>
        <v>0</v>
      </c>
      <c r="N67" s="71">
        <f t="shared" si="3"/>
        <v>9</v>
      </c>
      <c r="O67" s="72">
        <f t="shared" si="4"/>
        <v>211.75</v>
      </c>
      <c r="P67" s="274">
        <f t="shared" si="5"/>
        <v>1905.75</v>
      </c>
      <c r="Q67" s="291">
        <f t="shared" si="6"/>
        <v>9.5500000000000007</v>
      </c>
      <c r="S67" s="194"/>
    </row>
    <row r="68" spans="2:19" s="121" customFormat="1" ht="16.5" customHeight="1" x14ac:dyDescent="0.2">
      <c r="B68" s="120"/>
      <c r="C68" s="56" t="s">
        <v>251</v>
      </c>
      <c r="D68" s="56" t="s">
        <v>96</v>
      </c>
      <c r="E68" s="57" t="s">
        <v>365</v>
      </c>
      <c r="F68" s="58" t="s">
        <v>366</v>
      </c>
      <c r="G68" s="59" t="s">
        <v>99</v>
      </c>
      <c r="H68" s="60">
        <v>3</v>
      </c>
      <c r="I68" s="61">
        <v>808.86</v>
      </c>
      <c r="J68" s="60">
        <v>2426.6</v>
      </c>
      <c r="K68" s="68">
        <v>0</v>
      </c>
      <c r="L68" s="69">
        <f t="shared" si="1"/>
        <v>808.86</v>
      </c>
      <c r="M68" s="273">
        <f t="shared" si="2"/>
        <v>0</v>
      </c>
      <c r="N68" s="71">
        <f t="shared" si="3"/>
        <v>3</v>
      </c>
      <c r="O68" s="72">
        <f t="shared" si="4"/>
        <v>808.86</v>
      </c>
      <c r="P68" s="274">
        <f t="shared" si="5"/>
        <v>2426.58</v>
      </c>
      <c r="Q68" s="291">
        <f t="shared" si="6"/>
        <v>3.18</v>
      </c>
      <c r="S68" s="194"/>
    </row>
    <row r="69" spans="2:19" s="121" customFormat="1" ht="16.5" customHeight="1" x14ac:dyDescent="0.2">
      <c r="B69" s="120"/>
      <c r="C69" s="73" t="s">
        <v>254</v>
      </c>
      <c r="D69" s="73" t="s">
        <v>209</v>
      </c>
      <c r="E69" s="74" t="s">
        <v>368</v>
      </c>
      <c r="F69" s="75" t="s">
        <v>369</v>
      </c>
      <c r="G69" s="76" t="s">
        <v>99</v>
      </c>
      <c r="H69" s="77">
        <v>3</v>
      </c>
      <c r="I69" s="78">
        <v>1530.92</v>
      </c>
      <c r="J69" s="77">
        <v>4592.8</v>
      </c>
      <c r="K69" s="68">
        <v>0</v>
      </c>
      <c r="L69" s="69">
        <f t="shared" si="1"/>
        <v>1530.92</v>
      </c>
      <c r="M69" s="273">
        <f t="shared" si="2"/>
        <v>0</v>
      </c>
      <c r="N69" s="71">
        <f t="shared" si="3"/>
        <v>3</v>
      </c>
      <c r="O69" s="72">
        <f t="shared" si="4"/>
        <v>1530.92</v>
      </c>
      <c r="P69" s="274">
        <f t="shared" si="5"/>
        <v>4592.76</v>
      </c>
      <c r="Q69" s="291">
        <f t="shared" si="6"/>
        <v>3.18</v>
      </c>
      <c r="S69" s="194"/>
    </row>
    <row r="70" spans="2:19" s="121" customFormat="1" ht="16.5" customHeight="1" x14ac:dyDescent="0.2">
      <c r="B70" s="120"/>
      <c r="C70" s="56" t="s">
        <v>258</v>
      </c>
      <c r="D70" s="56" t="s">
        <v>96</v>
      </c>
      <c r="E70" s="57" t="s">
        <v>371</v>
      </c>
      <c r="F70" s="58" t="s">
        <v>372</v>
      </c>
      <c r="G70" s="59" t="s">
        <v>99</v>
      </c>
      <c r="H70" s="60">
        <v>3</v>
      </c>
      <c r="I70" s="61">
        <v>3234.12</v>
      </c>
      <c r="J70" s="60">
        <v>9702.4</v>
      </c>
      <c r="K70" s="68">
        <v>0</v>
      </c>
      <c r="L70" s="69">
        <f t="shared" si="1"/>
        <v>3234.12</v>
      </c>
      <c r="M70" s="273">
        <f t="shared" si="2"/>
        <v>0</v>
      </c>
      <c r="N70" s="71">
        <f t="shared" si="3"/>
        <v>3</v>
      </c>
      <c r="O70" s="72">
        <f t="shared" si="4"/>
        <v>3234.12</v>
      </c>
      <c r="P70" s="274">
        <f t="shared" si="5"/>
        <v>9702.36</v>
      </c>
      <c r="Q70" s="291">
        <f t="shared" si="6"/>
        <v>3.18</v>
      </c>
      <c r="S70" s="194"/>
    </row>
    <row r="71" spans="2:19" s="121" customFormat="1" ht="16.5" customHeight="1" x14ac:dyDescent="0.2">
      <c r="B71" s="120"/>
      <c r="C71" s="73" t="s">
        <v>261</v>
      </c>
      <c r="D71" s="73" t="s">
        <v>209</v>
      </c>
      <c r="E71" s="74" t="s">
        <v>374</v>
      </c>
      <c r="F71" s="75" t="s">
        <v>375</v>
      </c>
      <c r="G71" s="76" t="s">
        <v>99</v>
      </c>
      <c r="H71" s="77">
        <v>3</v>
      </c>
      <c r="I71" s="78">
        <v>14588.41</v>
      </c>
      <c r="J71" s="77">
        <v>43765.2</v>
      </c>
      <c r="K71" s="68">
        <v>0</v>
      </c>
      <c r="L71" s="69">
        <f t="shared" si="1"/>
        <v>14588.41</v>
      </c>
      <c r="M71" s="273">
        <f t="shared" si="2"/>
        <v>0</v>
      </c>
      <c r="N71" s="71">
        <f t="shared" si="3"/>
        <v>3</v>
      </c>
      <c r="O71" s="72">
        <f t="shared" si="4"/>
        <v>14588.41</v>
      </c>
      <c r="P71" s="274">
        <f t="shared" si="5"/>
        <v>43765.229999999996</v>
      </c>
      <c r="Q71" s="291">
        <f t="shared" si="6"/>
        <v>3.18</v>
      </c>
      <c r="S71" s="194"/>
    </row>
    <row r="72" spans="2:19" s="121" customFormat="1" ht="16.5" customHeight="1" x14ac:dyDescent="0.2">
      <c r="B72" s="120"/>
      <c r="C72" s="56" t="s">
        <v>264</v>
      </c>
      <c r="D72" s="56" t="s">
        <v>96</v>
      </c>
      <c r="E72" s="57" t="s">
        <v>377</v>
      </c>
      <c r="F72" s="58" t="s">
        <v>378</v>
      </c>
      <c r="G72" s="59" t="s">
        <v>99</v>
      </c>
      <c r="H72" s="60">
        <v>3</v>
      </c>
      <c r="I72" s="61">
        <v>485.32</v>
      </c>
      <c r="J72" s="60">
        <v>1456</v>
      </c>
      <c r="K72" s="68">
        <v>0</v>
      </c>
      <c r="L72" s="69">
        <f t="shared" si="1"/>
        <v>485.32</v>
      </c>
      <c r="M72" s="273">
        <f t="shared" si="2"/>
        <v>0</v>
      </c>
      <c r="N72" s="71">
        <f t="shared" si="3"/>
        <v>3</v>
      </c>
      <c r="O72" s="72">
        <f t="shared" si="4"/>
        <v>485.32</v>
      </c>
      <c r="P72" s="274">
        <f t="shared" si="5"/>
        <v>1455.96</v>
      </c>
      <c r="Q72" s="291">
        <f t="shared" si="6"/>
        <v>3.18</v>
      </c>
      <c r="S72" s="194"/>
    </row>
    <row r="73" spans="2:19" s="121" customFormat="1" ht="16.5" customHeight="1" x14ac:dyDescent="0.2">
      <c r="B73" s="120"/>
      <c r="C73" s="73" t="s">
        <v>267</v>
      </c>
      <c r="D73" s="73" t="s">
        <v>209</v>
      </c>
      <c r="E73" s="74" t="s">
        <v>380</v>
      </c>
      <c r="F73" s="75" t="s">
        <v>381</v>
      </c>
      <c r="G73" s="76" t="s">
        <v>99</v>
      </c>
      <c r="H73" s="77">
        <v>3</v>
      </c>
      <c r="I73" s="78">
        <v>6510.34</v>
      </c>
      <c r="J73" s="77">
        <v>19531</v>
      </c>
      <c r="K73" s="68">
        <v>0</v>
      </c>
      <c r="L73" s="69">
        <f t="shared" si="1"/>
        <v>6510.34</v>
      </c>
      <c r="M73" s="273">
        <f t="shared" si="2"/>
        <v>0</v>
      </c>
      <c r="N73" s="71">
        <f t="shared" si="3"/>
        <v>3</v>
      </c>
      <c r="O73" s="72">
        <f t="shared" si="4"/>
        <v>6510.34</v>
      </c>
      <c r="P73" s="274">
        <f t="shared" si="5"/>
        <v>19531.02</v>
      </c>
      <c r="Q73" s="291">
        <f t="shared" si="6"/>
        <v>3.18</v>
      </c>
      <c r="S73" s="194"/>
    </row>
    <row r="74" spans="2:19" s="121" customFormat="1" ht="16.5" customHeight="1" x14ac:dyDescent="0.2">
      <c r="B74" s="120"/>
      <c r="C74" s="56" t="s">
        <v>270</v>
      </c>
      <c r="D74" s="56" t="s">
        <v>96</v>
      </c>
      <c r="E74" s="57" t="s">
        <v>383</v>
      </c>
      <c r="F74" s="58" t="s">
        <v>384</v>
      </c>
      <c r="G74" s="59" t="s">
        <v>133</v>
      </c>
      <c r="H74" s="60">
        <v>80.14</v>
      </c>
      <c r="I74" s="61">
        <v>9.2100000000000009</v>
      </c>
      <c r="J74" s="60">
        <v>738.1</v>
      </c>
      <c r="K74" s="68">
        <f t="shared" ref="K74" si="9">ROUND(84.9/85*Q74-Q74,2)</f>
        <v>-0.1</v>
      </c>
      <c r="L74" s="69">
        <f t="shared" si="1"/>
        <v>9.2100000000000009</v>
      </c>
      <c r="M74" s="273">
        <f t="shared" si="2"/>
        <v>-0.92100000000000015</v>
      </c>
      <c r="N74" s="71">
        <f t="shared" si="3"/>
        <v>80.040000000000006</v>
      </c>
      <c r="O74" s="72">
        <f t="shared" si="4"/>
        <v>9.2100000000000009</v>
      </c>
      <c r="P74" s="274">
        <f t="shared" si="5"/>
        <v>737.16840000000013</v>
      </c>
      <c r="Q74" s="291">
        <f t="shared" si="6"/>
        <v>85</v>
      </c>
      <c r="S74" s="194"/>
    </row>
    <row r="75" spans="2:19" s="170" customFormat="1" ht="22.9" customHeight="1" x14ac:dyDescent="0.2">
      <c r="B75" s="165"/>
      <c r="C75" s="252"/>
      <c r="D75" s="253" t="s">
        <v>4</v>
      </c>
      <c r="E75" s="254" t="s">
        <v>118</v>
      </c>
      <c r="F75" s="254" t="s">
        <v>385</v>
      </c>
      <c r="G75" s="252"/>
      <c r="H75" s="252"/>
      <c r="I75" s="255"/>
      <c r="J75" s="256">
        <f>+SUBTOTAL(9,J76:J77)</f>
        <v>8319.5</v>
      </c>
      <c r="K75" s="261"/>
      <c r="L75" s="262"/>
      <c r="M75" s="279">
        <f>SUM(M76:M77)</f>
        <v>0</v>
      </c>
      <c r="N75" s="280"/>
      <c r="O75" s="262"/>
      <c r="P75" s="279">
        <f>SUM(P76:P77)</f>
        <v>8319.48</v>
      </c>
      <c r="Q75" s="291">
        <f t="shared" si="6"/>
        <v>0</v>
      </c>
      <c r="R75" s="121"/>
      <c r="S75" s="194"/>
    </row>
    <row r="76" spans="2:19" s="121" customFormat="1" ht="16.5" customHeight="1" x14ac:dyDescent="0.2">
      <c r="B76" s="120"/>
      <c r="C76" s="56" t="s">
        <v>273</v>
      </c>
      <c r="D76" s="56" t="s">
        <v>96</v>
      </c>
      <c r="E76" s="57" t="s">
        <v>387</v>
      </c>
      <c r="F76" s="58" t="s">
        <v>388</v>
      </c>
      <c r="G76" s="59" t="s">
        <v>133</v>
      </c>
      <c r="H76" s="60">
        <v>52</v>
      </c>
      <c r="I76" s="61">
        <v>87.65</v>
      </c>
      <c r="J76" s="60">
        <v>4557.8</v>
      </c>
      <c r="K76" s="68">
        <v>0</v>
      </c>
      <c r="L76" s="69">
        <f t="shared" si="1"/>
        <v>87.65</v>
      </c>
      <c r="M76" s="273">
        <f t="shared" si="2"/>
        <v>0</v>
      </c>
      <c r="N76" s="71">
        <f t="shared" si="3"/>
        <v>52</v>
      </c>
      <c r="O76" s="72">
        <f t="shared" si="4"/>
        <v>87.65</v>
      </c>
      <c r="P76" s="274">
        <f t="shared" si="5"/>
        <v>4557.8</v>
      </c>
      <c r="Q76" s="291">
        <f t="shared" si="6"/>
        <v>55.15</v>
      </c>
      <c r="S76" s="194"/>
    </row>
    <row r="77" spans="2:19" s="121" customFormat="1" ht="16.5" customHeight="1" x14ac:dyDescent="0.2">
      <c r="B77" s="120"/>
      <c r="C77" s="56" t="s">
        <v>276</v>
      </c>
      <c r="D77" s="56" t="s">
        <v>96</v>
      </c>
      <c r="E77" s="57" t="s">
        <v>390</v>
      </c>
      <c r="F77" s="58" t="s">
        <v>391</v>
      </c>
      <c r="G77" s="59" t="s">
        <v>133</v>
      </c>
      <c r="H77" s="60">
        <v>52</v>
      </c>
      <c r="I77" s="61">
        <v>72.34</v>
      </c>
      <c r="J77" s="60">
        <v>3761.7</v>
      </c>
      <c r="K77" s="68">
        <v>0</v>
      </c>
      <c r="L77" s="69">
        <f t="shared" si="1"/>
        <v>72.34</v>
      </c>
      <c r="M77" s="273">
        <f t="shared" si="2"/>
        <v>0</v>
      </c>
      <c r="N77" s="71">
        <f t="shared" si="3"/>
        <v>52</v>
      </c>
      <c r="O77" s="72">
        <f t="shared" si="4"/>
        <v>72.34</v>
      </c>
      <c r="P77" s="274">
        <f t="shared" si="5"/>
        <v>3761.6800000000003</v>
      </c>
      <c r="Q77" s="291">
        <f t="shared" si="6"/>
        <v>55.15</v>
      </c>
      <c r="S77" s="194"/>
    </row>
    <row r="78" spans="2:19" s="170" customFormat="1" ht="22.9" customHeight="1" x14ac:dyDescent="0.2">
      <c r="B78" s="165"/>
      <c r="C78" s="252"/>
      <c r="D78" s="253" t="s">
        <v>4</v>
      </c>
      <c r="E78" s="254" t="s">
        <v>398</v>
      </c>
      <c r="F78" s="254" t="s">
        <v>399</v>
      </c>
      <c r="G78" s="252"/>
      <c r="H78" s="252"/>
      <c r="I78" s="255"/>
      <c r="J78" s="256">
        <f>+SUBTOTAL(9,J79:J81)</f>
        <v>25942.3</v>
      </c>
      <c r="K78" s="261"/>
      <c r="L78" s="262"/>
      <c r="M78" s="279">
        <f>SUM(M79:M81)</f>
        <v>-28.716199999999997</v>
      </c>
      <c r="N78" s="280"/>
      <c r="O78" s="262"/>
      <c r="P78" s="279">
        <f>SUM(P79:P81)</f>
        <v>25913.671899999998</v>
      </c>
      <c r="Q78" s="291">
        <f t="shared" si="6"/>
        <v>0</v>
      </c>
      <c r="R78" s="121"/>
      <c r="S78" s="194"/>
    </row>
    <row r="79" spans="2:19" s="121" customFormat="1" ht="16.5" customHeight="1" x14ac:dyDescent="0.2">
      <c r="B79" s="120"/>
      <c r="C79" s="56" t="s">
        <v>279</v>
      </c>
      <c r="D79" s="56" t="s">
        <v>96</v>
      </c>
      <c r="E79" s="57" t="s">
        <v>401</v>
      </c>
      <c r="F79" s="58" t="s">
        <v>402</v>
      </c>
      <c r="G79" s="59" t="s">
        <v>201</v>
      </c>
      <c r="H79" s="60">
        <v>92.3</v>
      </c>
      <c r="I79" s="61">
        <v>110.41</v>
      </c>
      <c r="J79" s="60">
        <v>10190.799999999999</v>
      </c>
      <c r="K79" s="68">
        <f t="shared" ref="K79" si="10">ROUND(84.9/85*Q79-Q79,2)</f>
        <v>-0.12</v>
      </c>
      <c r="L79" s="69">
        <f t="shared" si="1"/>
        <v>110.41</v>
      </c>
      <c r="M79" s="273">
        <f t="shared" si="2"/>
        <v>-13.249199999999998</v>
      </c>
      <c r="N79" s="71">
        <f t="shared" si="3"/>
        <v>92.179999999999993</v>
      </c>
      <c r="O79" s="72">
        <f t="shared" si="4"/>
        <v>110.41</v>
      </c>
      <c r="P79" s="274">
        <f t="shared" si="5"/>
        <v>10177.593799999999</v>
      </c>
      <c r="Q79" s="291">
        <f t="shared" si="6"/>
        <v>97.9</v>
      </c>
      <c r="S79" s="194"/>
    </row>
    <row r="80" spans="2:19" s="121" customFormat="1" ht="16.5" customHeight="1" x14ac:dyDescent="0.2">
      <c r="B80" s="120"/>
      <c r="C80" s="56" t="s">
        <v>282</v>
      </c>
      <c r="D80" s="56" t="s">
        <v>96</v>
      </c>
      <c r="E80" s="57" t="s">
        <v>407</v>
      </c>
      <c r="F80" s="58" t="s">
        <v>408</v>
      </c>
      <c r="G80" s="59" t="s">
        <v>201</v>
      </c>
      <c r="H80" s="60">
        <v>14.31</v>
      </c>
      <c r="I80" s="61">
        <v>257.77999999999997</v>
      </c>
      <c r="J80" s="60">
        <v>3688.8</v>
      </c>
      <c r="K80" s="68">
        <v>0</v>
      </c>
      <c r="L80" s="69">
        <f t="shared" ref="L80:L83" si="11">I80</f>
        <v>257.77999999999997</v>
      </c>
      <c r="M80" s="273">
        <f t="shared" ref="M80:M83" si="12">K80*L80</f>
        <v>0</v>
      </c>
      <c r="N80" s="71">
        <f t="shared" ref="N80:N83" si="13">H80+K80</f>
        <v>14.31</v>
      </c>
      <c r="O80" s="72">
        <f t="shared" ref="O80:O83" si="14">I80</f>
        <v>257.77999999999997</v>
      </c>
      <c r="P80" s="274">
        <f t="shared" ref="P80:P83" si="15">N80*O80</f>
        <v>3688.8317999999999</v>
      </c>
      <c r="Q80" s="291">
        <f t="shared" ref="Q80:Q83" si="16">ROUND(85/80.14*H80,2)</f>
        <v>15.18</v>
      </c>
      <c r="S80" s="194"/>
    </row>
    <row r="81" spans="2:19" s="121" customFormat="1" ht="16.5" customHeight="1" x14ac:dyDescent="0.2">
      <c r="B81" s="120"/>
      <c r="C81" s="56" t="s">
        <v>285</v>
      </c>
      <c r="D81" s="56" t="s">
        <v>96</v>
      </c>
      <c r="E81" s="57" t="s">
        <v>410</v>
      </c>
      <c r="F81" s="58" t="s">
        <v>411</v>
      </c>
      <c r="G81" s="59" t="s">
        <v>201</v>
      </c>
      <c r="H81" s="60">
        <v>77.989999999999995</v>
      </c>
      <c r="I81" s="61">
        <v>154.66999999999999</v>
      </c>
      <c r="J81" s="60">
        <v>12062.7</v>
      </c>
      <c r="K81" s="68">
        <f t="shared" ref="K81" si="17">ROUND(84.9/85*Q81-Q81,2)</f>
        <v>-0.1</v>
      </c>
      <c r="L81" s="69">
        <f t="shared" si="11"/>
        <v>154.66999999999999</v>
      </c>
      <c r="M81" s="273">
        <f t="shared" si="12"/>
        <v>-15.466999999999999</v>
      </c>
      <c r="N81" s="71">
        <f t="shared" si="13"/>
        <v>77.89</v>
      </c>
      <c r="O81" s="72">
        <f t="shared" si="14"/>
        <v>154.66999999999999</v>
      </c>
      <c r="P81" s="274">
        <f t="shared" si="15"/>
        <v>12047.246299999999</v>
      </c>
      <c r="Q81" s="291">
        <f t="shared" si="16"/>
        <v>82.72</v>
      </c>
      <c r="S81" s="194"/>
    </row>
    <row r="82" spans="2:19" s="170" customFormat="1" ht="22.9" customHeight="1" x14ac:dyDescent="0.2">
      <c r="B82" s="165"/>
      <c r="C82" s="252"/>
      <c r="D82" s="253" t="s">
        <v>4</v>
      </c>
      <c r="E82" s="254" t="s">
        <v>412</v>
      </c>
      <c r="F82" s="254" t="s">
        <v>413</v>
      </c>
      <c r="G82" s="252"/>
      <c r="H82" s="252"/>
      <c r="I82" s="255"/>
      <c r="J82" s="256">
        <f>+SUBTOTAL(9,J83)</f>
        <v>24779.9</v>
      </c>
      <c r="K82" s="261"/>
      <c r="L82" s="262"/>
      <c r="M82" s="279">
        <f>M83</f>
        <v>-30.893400000000003</v>
      </c>
      <c r="N82" s="280"/>
      <c r="O82" s="262"/>
      <c r="P82" s="279">
        <f>P83</f>
        <v>24749.045999999998</v>
      </c>
      <c r="Q82" s="291">
        <f t="shared" si="16"/>
        <v>0</v>
      </c>
      <c r="R82" s="121"/>
      <c r="S82" s="194"/>
    </row>
    <row r="83" spans="2:19" s="121" customFormat="1" ht="16.5" customHeight="1" x14ac:dyDescent="0.2">
      <c r="B83" s="120"/>
      <c r="C83" s="56" t="s">
        <v>289</v>
      </c>
      <c r="D83" s="56" t="s">
        <v>96</v>
      </c>
      <c r="E83" s="57" t="s">
        <v>415</v>
      </c>
      <c r="F83" s="58" t="s">
        <v>416</v>
      </c>
      <c r="G83" s="59" t="s">
        <v>201</v>
      </c>
      <c r="H83" s="60">
        <v>216.57</v>
      </c>
      <c r="I83" s="61">
        <v>114.42</v>
      </c>
      <c r="J83" s="60">
        <v>24779.9</v>
      </c>
      <c r="K83" s="68">
        <f t="shared" ref="K83" si="18">ROUND(84.9/85*Q83-Q83,2)</f>
        <v>-0.27</v>
      </c>
      <c r="L83" s="69">
        <f t="shared" si="11"/>
        <v>114.42</v>
      </c>
      <c r="M83" s="273">
        <f t="shared" si="12"/>
        <v>-30.893400000000003</v>
      </c>
      <c r="N83" s="71">
        <f t="shared" si="13"/>
        <v>216.29999999999998</v>
      </c>
      <c r="O83" s="72">
        <f t="shared" si="14"/>
        <v>114.42</v>
      </c>
      <c r="P83" s="274">
        <f t="shared" si="15"/>
        <v>24749.045999999998</v>
      </c>
      <c r="Q83" s="291">
        <f t="shared" si="16"/>
        <v>229.7</v>
      </c>
      <c r="S83" s="194"/>
    </row>
    <row r="84" spans="2:19" s="121" customFormat="1" ht="6.95" customHeight="1" x14ac:dyDescent="0.2">
      <c r="B84" s="120"/>
      <c r="C84" s="120"/>
      <c r="D84" s="120"/>
      <c r="E84" s="120"/>
      <c r="F84" s="120"/>
      <c r="G84" s="120"/>
      <c r="H84" s="120"/>
      <c r="I84" s="153"/>
      <c r="J84" s="120"/>
    </row>
    <row r="85" spans="2:19" ht="18" customHeight="1" x14ac:dyDescent="0.2">
      <c r="D85" s="42"/>
      <c r="E85" s="43" t="s">
        <v>903</v>
      </c>
      <c r="F85" s="44"/>
      <c r="G85" s="44"/>
      <c r="H85" s="45"/>
      <c r="I85" s="44"/>
      <c r="J85" s="46">
        <f>ROUND(SUBTOTAL(9,J12:J83),2)</f>
        <v>794892.9</v>
      </c>
      <c r="K85" s="49"/>
      <c r="L85" s="46"/>
      <c r="M85" s="281">
        <f>M82+M78+M75+M54+M44+M41+M38+M14</f>
        <v>-720.77810000000011</v>
      </c>
      <c r="N85" s="49"/>
      <c r="O85" s="46"/>
      <c r="P85" s="281">
        <f>P82+P78+P75+P54+P44+P41+P38+P14</f>
        <v>794172.11469999992</v>
      </c>
      <c r="Q85" s="281"/>
    </row>
    <row r="86" spans="2:19" ht="12.75" x14ac:dyDescent="0.2">
      <c r="H86" s="50"/>
      <c r="I86" s="8"/>
      <c r="J86" s="9"/>
    </row>
    <row r="87" spans="2:19" ht="14.25" x14ac:dyDescent="0.2">
      <c r="E87" s="6" t="s">
        <v>849</v>
      </c>
      <c r="F87" s="6"/>
      <c r="G87" s="320" t="s">
        <v>1224</v>
      </c>
      <c r="H87" s="50"/>
      <c r="I87" s="8"/>
      <c r="J87" s="6"/>
      <c r="K87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83" xr:uid="{B1576AE9-71F0-4459-A619-B2402CDD121D}"/>
  <mergeCells count="2">
    <mergeCell ref="K9:M9"/>
    <mergeCell ref="N9:P9"/>
  </mergeCells>
  <conditionalFormatting sqref="G87:I87 L87:P87">
    <cfRule type="cellIs" dxfId="350" priority="4" operator="lessThan">
      <formula>0</formula>
    </cfRule>
  </conditionalFormatting>
  <conditionalFormatting sqref="G87:I87 L87:M87">
    <cfRule type="cellIs" dxfId="349" priority="3" operator="lessThan">
      <formula>0</formula>
    </cfRule>
  </conditionalFormatting>
  <conditionalFormatting sqref="G87:I87">
    <cfRule type="cellIs" dxfId="348" priority="2" operator="lessThan">
      <formula>0</formula>
    </cfRule>
  </conditionalFormatting>
  <conditionalFormatting sqref="G87:I87">
    <cfRule type="cellIs" dxfId="347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3" fitToHeight="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78"/>
  <sheetViews>
    <sheetView showGridLines="0" view="pageBreakPreview" topLeftCell="C1" zoomScale="60" zoomScaleNormal="100" workbookViewId="0">
      <selection activeCell="F30" sqref="F30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11.6640625" style="8" customWidth="1"/>
    <col min="12" max="12" width="15.1640625" style="8" customWidth="1"/>
    <col min="13" max="13" width="20.5" style="8" bestFit="1" customWidth="1"/>
    <col min="14" max="14" width="17.6640625" style="8" bestFit="1" customWidth="1"/>
    <col min="15" max="15" width="21.6640625" style="8" bestFit="1" customWidth="1"/>
    <col min="16" max="16" width="21" style="8" bestFit="1" customWidth="1"/>
    <col min="17" max="17" width="23" style="8" bestFit="1" customWidth="1"/>
    <col min="18" max="18" width="18.33203125" style="8" bestFit="1" customWidth="1"/>
    <col min="19" max="16384" width="9.33203125" style="8"/>
  </cols>
  <sheetData>
    <row r="1" spans="2:19" ht="18.95" customHeight="1" x14ac:dyDescent="0.2">
      <c r="F1" s="11"/>
      <c r="G1" s="89"/>
      <c r="H1" s="88"/>
      <c r="I1" s="8"/>
      <c r="J1" s="9"/>
    </row>
    <row r="2" spans="2:19" s="88" customFormat="1" ht="18" customHeight="1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19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19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19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19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19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19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A1 - Stoka A1</v>
      </c>
      <c r="M8" s="150"/>
      <c r="O8" s="151"/>
    </row>
    <row r="9" spans="2:19" s="15" customFormat="1" ht="20.100000000000001" customHeight="1" x14ac:dyDescent="0.2">
      <c r="C9" s="175"/>
      <c r="D9" s="176"/>
      <c r="E9" s="176"/>
      <c r="F9" s="176"/>
      <c r="G9" s="176"/>
      <c r="H9" s="176"/>
      <c r="I9" s="177"/>
      <c r="J9" s="178"/>
      <c r="K9" s="329" t="s">
        <v>1208</v>
      </c>
      <c r="L9" s="329"/>
      <c r="M9" s="230"/>
      <c r="N9" s="330" t="s">
        <v>1211</v>
      </c>
      <c r="O9" s="330"/>
      <c r="P9" s="331"/>
    </row>
    <row r="10" spans="2:19" s="15" customFormat="1" ht="24" customHeight="1" x14ac:dyDescent="0.2">
      <c r="C10" s="17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31" t="s">
        <v>874</v>
      </c>
      <c r="L10" s="233" t="s">
        <v>1209</v>
      </c>
      <c r="M10" s="233" t="s">
        <v>1210</v>
      </c>
      <c r="N10" s="234" t="s">
        <v>874</v>
      </c>
      <c r="O10" s="235" t="s">
        <v>1209</v>
      </c>
      <c r="P10" s="236" t="s">
        <v>847</v>
      </c>
      <c r="Q10" s="189" t="s">
        <v>1110</v>
      </c>
    </row>
    <row r="11" spans="2:19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19" s="121" customFormat="1" ht="22.9" customHeight="1" x14ac:dyDescent="0.25">
      <c r="B12" s="120"/>
      <c r="C12" s="152" t="s">
        <v>417</v>
      </c>
      <c r="D12" s="120"/>
      <c r="E12" s="120"/>
      <c r="F12" s="120"/>
      <c r="G12" s="120"/>
      <c r="H12" s="120"/>
      <c r="I12" s="153"/>
      <c r="J12" s="154">
        <f>+SUBTOTAL(9,J13:J74)</f>
        <v>350871.1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19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+SUBTOTAL(9,J14:J74)</f>
        <v>350871.1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19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+SUBTOTAL(9,J15:J38)</f>
        <v>149284.69999999998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SUM(M15:M38)</f>
        <v>-2387.2512000000002</v>
      </c>
      <c r="N14" s="278" t="str">
        <f>IF(ISBLANK(H14),"",H14-K14)</f>
        <v/>
      </c>
      <c r="O14" s="272" t="str">
        <f>IF(ISBLANK(H14),"",J14-L14)</f>
        <v/>
      </c>
      <c r="P14" s="272">
        <f>SUM(P15:P38)</f>
        <v>146897.09000000003</v>
      </c>
      <c r="Q14" s="218" t="s">
        <v>1216</v>
      </c>
    </row>
    <row r="15" spans="2:19" s="121" customFormat="1" ht="16.5" customHeight="1" x14ac:dyDescent="0.2">
      <c r="B15" s="120"/>
      <c r="C15" s="56" t="s">
        <v>8</v>
      </c>
      <c r="D15" s="56" t="s">
        <v>96</v>
      </c>
      <c r="E15" s="57" t="s">
        <v>106</v>
      </c>
      <c r="F15" s="58" t="s">
        <v>107</v>
      </c>
      <c r="G15" s="59" t="s">
        <v>108</v>
      </c>
      <c r="H15" s="60">
        <v>7.7</v>
      </c>
      <c r="I15" s="61">
        <v>31.57</v>
      </c>
      <c r="J15" s="60">
        <v>243.1</v>
      </c>
      <c r="K15" s="68">
        <f>ROUND(39.4/40*Q15-Q15,2)</f>
        <v>-0.12</v>
      </c>
      <c r="L15" s="69">
        <f>I15</f>
        <v>31.57</v>
      </c>
      <c r="M15" s="273">
        <f>K15*L15</f>
        <v>-3.7883999999999998</v>
      </c>
      <c r="N15" s="71">
        <f>H15+K15</f>
        <v>7.58</v>
      </c>
      <c r="O15" s="72">
        <f>I15</f>
        <v>31.57</v>
      </c>
      <c r="P15" s="274">
        <f>N15*O15</f>
        <v>239.3006</v>
      </c>
      <c r="Q15" s="237">
        <f>ROUND(40/37.58*H15,2)</f>
        <v>8.1999999999999993</v>
      </c>
      <c r="S15" s="194"/>
    </row>
    <row r="16" spans="2:19" s="121" customFormat="1" ht="16.5" customHeight="1" x14ac:dyDescent="0.2">
      <c r="B16" s="120"/>
      <c r="C16" s="56" t="s">
        <v>13</v>
      </c>
      <c r="D16" s="56" t="s">
        <v>96</v>
      </c>
      <c r="E16" s="57" t="s">
        <v>110</v>
      </c>
      <c r="F16" s="58" t="s">
        <v>111</v>
      </c>
      <c r="G16" s="59" t="s">
        <v>108</v>
      </c>
      <c r="H16" s="60">
        <v>7.7</v>
      </c>
      <c r="I16" s="61">
        <v>23.67</v>
      </c>
      <c r="J16" s="60">
        <v>182.3</v>
      </c>
      <c r="K16" s="68">
        <f t="shared" ref="K16:K44" si="0">ROUND(39.4/40*Q16-Q16,2)</f>
        <v>-0.12</v>
      </c>
      <c r="L16" s="69">
        <f t="shared" ref="L16:L74" si="1">I16</f>
        <v>23.67</v>
      </c>
      <c r="M16" s="273">
        <f t="shared" ref="M16:M74" si="2">K16*L16</f>
        <v>-2.8404000000000003</v>
      </c>
      <c r="N16" s="71">
        <f t="shared" ref="N16:N74" si="3">H16+K16</f>
        <v>7.58</v>
      </c>
      <c r="O16" s="72">
        <f t="shared" ref="O16:O74" si="4">I16</f>
        <v>23.67</v>
      </c>
      <c r="P16" s="274">
        <f t="shared" ref="P16:P74" si="5">N16*O16</f>
        <v>179.41860000000003</v>
      </c>
      <c r="Q16" s="237">
        <f t="shared" ref="Q16:Q74" si="6">ROUND(40/37.58*H16,2)</f>
        <v>8.1999999999999993</v>
      </c>
      <c r="S16" s="194"/>
    </row>
    <row r="17" spans="2:19" s="121" customFormat="1" ht="16.5" customHeight="1" x14ac:dyDescent="0.2">
      <c r="B17" s="120"/>
      <c r="C17" s="56" t="s">
        <v>100</v>
      </c>
      <c r="D17" s="56" t="s">
        <v>96</v>
      </c>
      <c r="E17" s="57" t="s">
        <v>113</v>
      </c>
      <c r="F17" s="58" t="s">
        <v>114</v>
      </c>
      <c r="G17" s="59" t="s">
        <v>108</v>
      </c>
      <c r="H17" s="60">
        <v>7.7</v>
      </c>
      <c r="I17" s="61">
        <v>26.3</v>
      </c>
      <c r="J17" s="60">
        <v>202.5</v>
      </c>
      <c r="K17" s="68">
        <f t="shared" si="0"/>
        <v>-0.12</v>
      </c>
      <c r="L17" s="69">
        <f t="shared" si="1"/>
        <v>26.3</v>
      </c>
      <c r="M17" s="273">
        <f t="shared" si="2"/>
        <v>-3.1560000000000001</v>
      </c>
      <c r="N17" s="71">
        <f t="shared" si="3"/>
        <v>7.58</v>
      </c>
      <c r="O17" s="72">
        <f t="shared" si="4"/>
        <v>26.3</v>
      </c>
      <c r="P17" s="274">
        <f t="shared" si="5"/>
        <v>199.35400000000001</v>
      </c>
      <c r="Q17" s="237">
        <f t="shared" si="6"/>
        <v>8.1999999999999993</v>
      </c>
      <c r="S17" s="194"/>
    </row>
    <row r="18" spans="2:19" s="121" customFormat="1" ht="16.5" customHeight="1" x14ac:dyDescent="0.2">
      <c r="B18" s="120"/>
      <c r="C18" s="56" t="s">
        <v>105</v>
      </c>
      <c r="D18" s="56" t="s">
        <v>96</v>
      </c>
      <c r="E18" s="57" t="s">
        <v>116</v>
      </c>
      <c r="F18" s="58" t="s">
        <v>117</v>
      </c>
      <c r="G18" s="59" t="s">
        <v>108</v>
      </c>
      <c r="H18" s="60">
        <v>36.299999999999997</v>
      </c>
      <c r="I18" s="61">
        <v>40.770000000000003</v>
      </c>
      <c r="J18" s="60">
        <v>1480</v>
      </c>
      <c r="K18" s="68">
        <f t="shared" si="0"/>
        <v>-0.57999999999999996</v>
      </c>
      <c r="L18" s="69">
        <f t="shared" si="1"/>
        <v>40.770000000000003</v>
      </c>
      <c r="M18" s="273">
        <f t="shared" si="2"/>
        <v>-23.646599999999999</v>
      </c>
      <c r="N18" s="71">
        <f t="shared" si="3"/>
        <v>35.72</v>
      </c>
      <c r="O18" s="72">
        <f t="shared" si="4"/>
        <v>40.770000000000003</v>
      </c>
      <c r="P18" s="274">
        <f t="shared" si="5"/>
        <v>1456.3044</v>
      </c>
      <c r="Q18" s="237">
        <f t="shared" si="6"/>
        <v>38.64</v>
      </c>
      <c r="S18" s="194"/>
    </row>
    <row r="19" spans="2:19" s="121" customFormat="1" ht="16.5" customHeight="1" x14ac:dyDescent="0.2">
      <c r="B19" s="120"/>
      <c r="C19" s="56" t="s">
        <v>109</v>
      </c>
      <c r="D19" s="56" t="s">
        <v>96</v>
      </c>
      <c r="E19" s="57" t="s">
        <v>119</v>
      </c>
      <c r="F19" s="58" t="s">
        <v>120</v>
      </c>
      <c r="G19" s="59" t="s">
        <v>108</v>
      </c>
      <c r="H19" s="60">
        <v>36.299999999999997</v>
      </c>
      <c r="I19" s="61">
        <v>53.92</v>
      </c>
      <c r="J19" s="60">
        <v>1957.3</v>
      </c>
      <c r="K19" s="68">
        <f t="shared" si="0"/>
        <v>-0.57999999999999996</v>
      </c>
      <c r="L19" s="69">
        <f t="shared" si="1"/>
        <v>53.92</v>
      </c>
      <c r="M19" s="273">
        <f t="shared" si="2"/>
        <v>-31.273599999999998</v>
      </c>
      <c r="N19" s="71">
        <f t="shared" si="3"/>
        <v>35.72</v>
      </c>
      <c r="O19" s="72">
        <f t="shared" si="4"/>
        <v>53.92</v>
      </c>
      <c r="P19" s="274">
        <f t="shared" si="5"/>
        <v>1926.0224000000001</v>
      </c>
      <c r="Q19" s="237">
        <f t="shared" si="6"/>
        <v>38.64</v>
      </c>
      <c r="S19" s="194"/>
    </row>
    <row r="20" spans="2:19" s="121" customFormat="1" ht="16.5" customHeight="1" x14ac:dyDescent="0.2">
      <c r="B20" s="120"/>
      <c r="C20" s="56" t="s">
        <v>112</v>
      </c>
      <c r="D20" s="56" t="s">
        <v>96</v>
      </c>
      <c r="E20" s="57" t="s">
        <v>142</v>
      </c>
      <c r="F20" s="58" t="s">
        <v>143</v>
      </c>
      <c r="G20" s="59" t="s">
        <v>133</v>
      </c>
      <c r="H20" s="60">
        <v>2.2000000000000002</v>
      </c>
      <c r="I20" s="61">
        <v>170.98</v>
      </c>
      <c r="J20" s="60">
        <v>376.2</v>
      </c>
      <c r="K20" s="68">
        <f t="shared" si="0"/>
        <v>-0.04</v>
      </c>
      <c r="L20" s="69">
        <f t="shared" si="1"/>
        <v>170.98</v>
      </c>
      <c r="M20" s="273">
        <f t="shared" si="2"/>
        <v>-6.8391999999999999</v>
      </c>
      <c r="N20" s="71">
        <f t="shared" si="3"/>
        <v>2.16</v>
      </c>
      <c r="O20" s="72">
        <f t="shared" si="4"/>
        <v>170.98</v>
      </c>
      <c r="P20" s="274">
        <f t="shared" si="5"/>
        <v>369.3168</v>
      </c>
      <c r="Q20" s="237">
        <f t="shared" si="6"/>
        <v>2.34</v>
      </c>
      <c r="S20" s="194"/>
    </row>
    <row r="21" spans="2:19" s="121" customFormat="1" ht="16.5" customHeight="1" x14ac:dyDescent="0.2">
      <c r="B21" s="120"/>
      <c r="C21" s="56" t="s">
        <v>115</v>
      </c>
      <c r="D21" s="56" t="s">
        <v>96</v>
      </c>
      <c r="E21" s="57" t="s">
        <v>145</v>
      </c>
      <c r="F21" s="58" t="s">
        <v>146</v>
      </c>
      <c r="G21" s="59" t="s">
        <v>133</v>
      </c>
      <c r="H21" s="60">
        <v>3.3</v>
      </c>
      <c r="I21" s="61">
        <v>147.30000000000001</v>
      </c>
      <c r="J21" s="60">
        <v>486.1</v>
      </c>
      <c r="K21" s="68">
        <f t="shared" si="0"/>
        <v>-0.05</v>
      </c>
      <c r="L21" s="69">
        <f t="shared" si="1"/>
        <v>147.30000000000001</v>
      </c>
      <c r="M21" s="273">
        <f t="shared" si="2"/>
        <v>-7.3650000000000011</v>
      </c>
      <c r="N21" s="71">
        <f t="shared" si="3"/>
        <v>3.25</v>
      </c>
      <c r="O21" s="72">
        <f t="shared" si="4"/>
        <v>147.30000000000001</v>
      </c>
      <c r="P21" s="274">
        <f t="shared" si="5"/>
        <v>478.72500000000002</v>
      </c>
      <c r="Q21" s="237">
        <f t="shared" si="6"/>
        <v>3.51</v>
      </c>
      <c r="S21" s="194"/>
    </row>
    <row r="22" spans="2:19" s="121" customFormat="1" ht="16.5" customHeight="1" x14ac:dyDescent="0.2">
      <c r="B22" s="120"/>
      <c r="C22" s="56" t="s">
        <v>118</v>
      </c>
      <c r="D22" s="56" t="s">
        <v>96</v>
      </c>
      <c r="E22" s="57" t="s">
        <v>155</v>
      </c>
      <c r="F22" s="58" t="s">
        <v>156</v>
      </c>
      <c r="G22" s="59" t="s">
        <v>150</v>
      </c>
      <c r="H22" s="60">
        <v>12.9</v>
      </c>
      <c r="I22" s="61">
        <v>257.77999999999997</v>
      </c>
      <c r="J22" s="60">
        <v>3325.4</v>
      </c>
      <c r="K22" s="68">
        <f t="shared" si="0"/>
        <v>-0.21</v>
      </c>
      <c r="L22" s="69">
        <f t="shared" si="1"/>
        <v>257.77999999999997</v>
      </c>
      <c r="M22" s="273">
        <f t="shared" si="2"/>
        <v>-54.133799999999994</v>
      </c>
      <c r="N22" s="71">
        <f t="shared" si="3"/>
        <v>12.69</v>
      </c>
      <c r="O22" s="72">
        <f t="shared" si="4"/>
        <v>257.77999999999997</v>
      </c>
      <c r="P22" s="274">
        <f t="shared" si="5"/>
        <v>3271.2281999999996</v>
      </c>
      <c r="Q22" s="237">
        <f t="shared" si="6"/>
        <v>13.73</v>
      </c>
      <c r="S22" s="194"/>
    </row>
    <row r="23" spans="2:19" s="121" customFormat="1" ht="16.5" customHeight="1" x14ac:dyDescent="0.2">
      <c r="B23" s="120"/>
      <c r="C23" s="56" t="s">
        <v>121</v>
      </c>
      <c r="D23" s="56" t="s">
        <v>96</v>
      </c>
      <c r="E23" s="57" t="s">
        <v>157</v>
      </c>
      <c r="F23" s="58" t="s">
        <v>158</v>
      </c>
      <c r="G23" s="59" t="s">
        <v>150</v>
      </c>
      <c r="H23" s="60">
        <v>61.34</v>
      </c>
      <c r="I23" s="61">
        <v>257.77999999999997</v>
      </c>
      <c r="J23" s="60">
        <v>15812.2</v>
      </c>
      <c r="K23" s="68">
        <f t="shared" si="0"/>
        <v>-0.98</v>
      </c>
      <c r="L23" s="69">
        <f t="shared" si="1"/>
        <v>257.77999999999997</v>
      </c>
      <c r="M23" s="273">
        <f t="shared" si="2"/>
        <v>-252.62439999999998</v>
      </c>
      <c r="N23" s="71">
        <f t="shared" si="3"/>
        <v>60.360000000000007</v>
      </c>
      <c r="O23" s="72">
        <f t="shared" si="4"/>
        <v>257.77999999999997</v>
      </c>
      <c r="P23" s="274">
        <f t="shared" si="5"/>
        <v>15559.6008</v>
      </c>
      <c r="Q23" s="237">
        <f t="shared" si="6"/>
        <v>65.290000000000006</v>
      </c>
      <c r="S23" s="194"/>
    </row>
    <row r="24" spans="2:19" s="121" customFormat="1" ht="16.5" customHeight="1" x14ac:dyDescent="0.2">
      <c r="B24" s="120"/>
      <c r="C24" s="56" t="s">
        <v>124</v>
      </c>
      <c r="D24" s="56" t="s">
        <v>96</v>
      </c>
      <c r="E24" s="57" t="s">
        <v>160</v>
      </c>
      <c r="F24" s="58" t="s">
        <v>161</v>
      </c>
      <c r="G24" s="59" t="s">
        <v>150</v>
      </c>
      <c r="H24" s="60">
        <v>18.399999999999999</v>
      </c>
      <c r="I24" s="61">
        <v>13.15</v>
      </c>
      <c r="J24" s="60">
        <v>242</v>
      </c>
      <c r="K24" s="68">
        <f t="shared" si="0"/>
        <v>-0.28999999999999998</v>
      </c>
      <c r="L24" s="69">
        <f t="shared" si="1"/>
        <v>13.15</v>
      </c>
      <c r="M24" s="273">
        <f t="shared" si="2"/>
        <v>-3.8134999999999999</v>
      </c>
      <c r="N24" s="71">
        <f t="shared" si="3"/>
        <v>18.11</v>
      </c>
      <c r="O24" s="72">
        <f t="shared" si="4"/>
        <v>13.15</v>
      </c>
      <c r="P24" s="274">
        <f t="shared" si="5"/>
        <v>238.1465</v>
      </c>
      <c r="Q24" s="237">
        <f t="shared" si="6"/>
        <v>19.579999999999998</v>
      </c>
      <c r="S24" s="194"/>
    </row>
    <row r="25" spans="2:19" s="121" customFormat="1" ht="16.5" customHeight="1" x14ac:dyDescent="0.2">
      <c r="B25" s="120"/>
      <c r="C25" s="56" t="s">
        <v>127</v>
      </c>
      <c r="D25" s="56" t="s">
        <v>96</v>
      </c>
      <c r="E25" s="57" t="s">
        <v>163</v>
      </c>
      <c r="F25" s="58" t="s">
        <v>164</v>
      </c>
      <c r="G25" s="59" t="s">
        <v>150</v>
      </c>
      <c r="H25" s="60">
        <v>37.619999999999997</v>
      </c>
      <c r="I25" s="61">
        <v>315.64999999999998</v>
      </c>
      <c r="J25" s="60">
        <v>11874.8</v>
      </c>
      <c r="K25" s="68">
        <f t="shared" si="0"/>
        <v>-0.6</v>
      </c>
      <c r="L25" s="69">
        <f t="shared" si="1"/>
        <v>315.64999999999998</v>
      </c>
      <c r="M25" s="273">
        <f t="shared" si="2"/>
        <v>-189.39</v>
      </c>
      <c r="N25" s="71">
        <f t="shared" si="3"/>
        <v>37.019999999999996</v>
      </c>
      <c r="O25" s="72">
        <f t="shared" si="4"/>
        <v>315.64999999999998</v>
      </c>
      <c r="P25" s="274">
        <f t="shared" si="5"/>
        <v>11685.362999999998</v>
      </c>
      <c r="Q25" s="237">
        <f t="shared" si="6"/>
        <v>40.04</v>
      </c>
      <c r="S25" s="194"/>
    </row>
    <row r="26" spans="2:19" s="121" customFormat="1" ht="16.5" customHeight="1" x14ac:dyDescent="0.2">
      <c r="B26" s="120"/>
      <c r="C26" s="56" t="s">
        <v>130</v>
      </c>
      <c r="D26" s="56" t="s">
        <v>96</v>
      </c>
      <c r="E26" s="57" t="s">
        <v>166</v>
      </c>
      <c r="F26" s="58" t="s">
        <v>167</v>
      </c>
      <c r="G26" s="59" t="s">
        <v>150</v>
      </c>
      <c r="H26" s="60">
        <v>11.29</v>
      </c>
      <c r="I26" s="61">
        <v>15.78</v>
      </c>
      <c r="J26" s="60">
        <v>178.2</v>
      </c>
      <c r="K26" s="68">
        <f t="shared" si="0"/>
        <v>-0.18</v>
      </c>
      <c r="L26" s="69">
        <f t="shared" si="1"/>
        <v>15.78</v>
      </c>
      <c r="M26" s="273">
        <f t="shared" si="2"/>
        <v>-2.8403999999999998</v>
      </c>
      <c r="N26" s="71">
        <f t="shared" si="3"/>
        <v>11.11</v>
      </c>
      <c r="O26" s="72">
        <f t="shared" si="4"/>
        <v>15.78</v>
      </c>
      <c r="P26" s="274">
        <f t="shared" si="5"/>
        <v>175.3158</v>
      </c>
      <c r="Q26" s="237">
        <f t="shared" si="6"/>
        <v>12.02</v>
      </c>
      <c r="S26" s="194"/>
    </row>
    <row r="27" spans="2:19" s="121" customFormat="1" ht="16.5" customHeight="1" x14ac:dyDescent="0.2">
      <c r="B27" s="120"/>
      <c r="C27" s="56" t="s">
        <v>134</v>
      </c>
      <c r="D27" s="56" t="s">
        <v>96</v>
      </c>
      <c r="E27" s="57" t="s">
        <v>169</v>
      </c>
      <c r="F27" s="58" t="s">
        <v>170</v>
      </c>
      <c r="G27" s="59" t="s">
        <v>150</v>
      </c>
      <c r="H27" s="60">
        <v>3.87</v>
      </c>
      <c r="I27" s="61">
        <v>837.79</v>
      </c>
      <c r="J27" s="60">
        <v>3242.2</v>
      </c>
      <c r="K27" s="68">
        <f t="shared" si="0"/>
        <v>-0.06</v>
      </c>
      <c r="L27" s="69">
        <f t="shared" si="1"/>
        <v>837.79</v>
      </c>
      <c r="M27" s="273">
        <f t="shared" si="2"/>
        <v>-50.267399999999995</v>
      </c>
      <c r="N27" s="71">
        <f t="shared" si="3"/>
        <v>3.81</v>
      </c>
      <c r="O27" s="72">
        <f t="shared" si="4"/>
        <v>837.79</v>
      </c>
      <c r="P27" s="274">
        <f t="shared" si="5"/>
        <v>3191.9798999999998</v>
      </c>
      <c r="Q27" s="237">
        <f t="shared" si="6"/>
        <v>4.12</v>
      </c>
      <c r="S27" s="194"/>
    </row>
    <row r="28" spans="2:19" s="121" customFormat="1" ht="16.5" customHeight="1" x14ac:dyDescent="0.2">
      <c r="B28" s="120"/>
      <c r="C28" s="56" t="s">
        <v>2</v>
      </c>
      <c r="D28" s="56" t="s">
        <v>96</v>
      </c>
      <c r="E28" s="57" t="s">
        <v>172</v>
      </c>
      <c r="F28" s="58" t="s">
        <v>173</v>
      </c>
      <c r="G28" s="59" t="s">
        <v>150</v>
      </c>
      <c r="H28" s="60">
        <v>1.67</v>
      </c>
      <c r="I28" s="61">
        <v>1116.6199999999999</v>
      </c>
      <c r="J28" s="60">
        <v>1864.8</v>
      </c>
      <c r="K28" s="68">
        <f t="shared" si="0"/>
        <v>-0.03</v>
      </c>
      <c r="L28" s="69">
        <f t="shared" si="1"/>
        <v>1116.6199999999999</v>
      </c>
      <c r="M28" s="273">
        <f t="shared" si="2"/>
        <v>-33.498599999999996</v>
      </c>
      <c r="N28" s="71">
        <f t="shared" si="3"/>
        <v>1.64</v>
      </c>
      <c r="O28" s="72">
        <f t="shared" si="4"/>
        <v>1116.6199999999999</v>
      </c>
      <c r="P28" s="274">
        <f t="shared" si="5"/>
        <v>1831.2567999999997</v>
      </c>
      <c r="Q28" s="237">
        <f t="shared" si="6"/>
        <v>1.78</v>
      </c>
      <c r="S28" s="194"/>
    </row>
    <row r="29" spans="2:19" s="121" customFormat="1" ht="16.5" customHeight="1" x14ac:dyDescent="0.2">
      <c r="B29" s="120"/>
      <c r="C29" s="56" t="s">
        <v>141</v>
      </c>
      <c r="D29" s="56" t="s">
        <v>96</v>
      </c>
      <c r="E29" s="57" t="s">
        <v>175</v>
      </c>
      <c r="F29" s="58" t="s">
        <v>176</v>
      </c>
      <c r="G29" s="59" t="s">
        <v>108</v>
      </c>
      <c r="H29" s="60">
        <v>185.96</v>
      </c>
      <c r="I29" s="61">
        <v>99.96</v>
      </c>
      <c r="J29" s="60">
        <v>18588.599999999999</v>
      </c>
      <c r="K29" s="68">
        <f t="shared" si="0"/>
        <v>-2.97</v>
      </c>
      <c r="L29" s="69">
        <f t="shared" si="1"/>
        <v>99.96</v>
      </c>
      <c r="M29" s="273">
        <f t="shared" si="2"/>
        <v>-296.88119999999998</v>
      </c>
      <c r="N29" s="71">
        <f t="shared" si="3"/>
        <v>182.99</v>
      </c>
      <c r="O29" s="72">
        <f t="shared" si="4"/>
        <v>99.96</v>
      </c>
      <c r="P29" s="274">
        <f t="shared" si="5"/>
        <v>18291.680400000001</v>
      </c>
      <c r="Q29" s="237">
        <f t="shared" si="6"/>
        <v>197.94</v>
      </c>
      <c r="S29" s="194"/>
    </row>
    <row r="30" spans="2:19" s="121" customFormat="1" ht="16.5" customHeight="1" x14ac:dyDescent="0.2">
      <c r="B30" s="120"/>
      <c r="C30" s="56" t="s">
        <v>144</v>
      </c>
      <c r="D30" s="56" t="s">
        <v>96</v>
      </c>
      <c r="E30" s="57" t="s">
        <v>181</v>
      </c>
      <c r="F30" s="58" t="s">
        <v>182</v>
      </c>
      <c r="G30" s="59" t="s">
        <v>108</v>
      </c>
      <c r="H30" s="60">
        <v>185.96</v>
      </c>
      <c r="I30" s="61">
        <v>149.94</v>
      </c>
      <c r="J30" s="60">
        <v>27882.799999999999</v>
      </c>
      <c r="K30" s="68">
        <f t="shared" si="0"/>
        <v>-2.97</v>
      </c>
      <c r="L30" s="69">
        <f t="shared" si="1"/>
        <v>149.94</v>
      </c>
      <c r="M30" s="273">
        <f t="shared" si="2"/>
        <v>-445.3218</v>
      </c>
      <c r="N30" s="71">
        <f t="shared" si="3"/>
        <v>182.99</v>
      </c>
      <c r="O30" s="72">
        <f t="shared" si="4"/>
        <v>149.94</v>
      </c>
      <c r="P30" s="274">
        <f t="shared" si="5"/>
        <v>27437.5206</v>
      </c>
      <c r="Q30" s="237">
        <f t="shared" si="6"/>
        <v>197.94</v>
      </c>
      <c r="S30" s="194"/>
    </row>
    <row r="31" spans="2:19" s="121" customFormat="1" ht="16.5" customHeight="1" x14ac:dyDescent="0.2">
      <c r="B31" s="120"/>
      <c r="C31" s="56" t="s">
        <v>147</v>
      </c>
      <c r="D31" s="56" t="s">
        <v>96</v>
      </c>
      <c r="E31" s="57" t="s">
        <v>187</v>
      </c>
      <c r="F31" s="58" t="s">
        <v>188</v>
      </c>
      <c r="G31" s="59" t="s">
        <v>150</v>
      </c>
      <c r="H31" s="60">
        <v>172.29</v>
      </c>
      <c r="I31" s="61">
        <v>97.83</v>
      </c>
      <c r="J31" s="60">
        <v>16855.099999999999</v>
      </c>
      <c r="K31" s="68">
        <f t="shared" si="0"/>
        <v>-2.75</v>
      </c>
      <c r="L31" s="69">
        <f t="shared" si="1"/>
        <v>97.83</v>
      </c>
      <c r="M31" s="273">
        <f t="shared" si="2"/>
        <v>-269.03249999999997</v>
      </c>
      <c r="N31" s="71">
        <f t="shared" si="3"/>
        <v>169.54</v>
      </c>
      <c r="O31" s="72">
        <f t="shared" si="4"/>
        <v>97.83</v>
      </c>
      <c r="P31" s="274">
        <f t="shared" si="5"/>
        <v>16586.0982</v>
      </c>
      <c r="Q31" s="237">
        <f t="shared" si="6"/>
        <v>183.38</v>
      </c>
      <c r="S31" s="194"/>
    </row>
    <row r="32" spans="2:19" s="121" customFormat="1" ht="16.5" customHeight="1" x14ac:dyDescent="0.2">
      <c r="B32" s="120"/>
      <c r="C32" s="56" t="s">
        <v>151</v>
      </c>
      <c r="D32" s="56" t="s">
        <v>96</v>
      </c>
      <c r="E32" s="57" t="s">
        <v>190</v>
      </c>
      <c r="F32" s="58" t="s">
        <v>191</v>
      </c>
      <c r="G32" s="59" t="s">
        <v>150</v>
      </c>
      <c r="H32" s="60">
        <v>36.72</v>
      </c>
      <c r="I32" s="61">
        <v>247.39</v>
      </c>
      <c r="J32" s="60">
        <v>9084.2000000000007</v>
      </c>
      <c r="K32" s="68">
        <f t="shared" si="0"/>
        <v>-0.59</v>
      </c>
      <c r="L32" s="69">
        <f t="shared" si="1"/>
        <v>247.39</v>
      </c>
      <c r="M32" s="273">
        <f t="shared" si="2"/>
        <v>-145.96009999999998</v>
      </c>
      <c r="N32" s="71">
        <f t="shared" si="3"/>
        <v>36.129999999999995</v>
      </c>
      <c r="O32" s="72">
        <f t="shared" si="4"/>
        <v>247.39</v>
      </c>
      <c r="P32" s="274">
        <f t="shared" si="5"/>
        <v>8938.2006999999976</v>
      </c>
      <c r="Q32" s="237">
        <f t="shared" si="6"/>
        <v>39.08</v>
      </c>
      <c r="S32" s="194"/>
    </row>
    <row r="33" spans="2:19" s="121" customFormat="1" ht="16.5" customHeight="1" x14ac:dyDescent="0.2">
      <c r="B33" s="120"/>
      <c r="C33" s="56" t="s">
        <v>154</v>
      </c>
      <c r="D33" s="56" t="s">
        <v>96</v>
      </c>
      <c r="E33" s="57" t="s">
        <v>193</v>
      </c>
      <c r="F33" s="58" t="s">
        <v>194</v>
      </c>
      <c r="G33" s="59" t="s">
        <v>150</v>
      </c>
      <c r="H33" s="60">
        <v>36.72</v>
      </c>
      <c r="I33" s="61">
        <v>44.72</v>
      </c>
      <c r="J33" s="60">
        <v>1642.1</v>
      </c>
      <c r="K33" s="68">
        <f t="shared" si="0"/>
        <v>-0.59</v>
      </c>
      <c r="L33" s="69">
        <f t="shared" si="1"/>
        <v>44.72</v>
      </c>
      <c r="M33" s="273">
        <f t="shared" si="2"/>
        <v>-26.384799999999998</v>
      </c>
      <c r="N33" s="71">
        <f t="shared" si="3"/>
        <v>36.129999999999995</v>
      </c>
      <c r="O33" s="72">
        <f t="shared" si="4"/>
        <v>44.72</v>
      </c>
      <c r="P33" s="274">
        <f t="shared" si="5"/>
        <v>1615.7335999999998</v>
      </c>
      <c r="Q33" s="237">
        <f t="shared" si="6"/>
        <v>39.08</v>
      </c>
      <c r="S33" s="194"/>
    </row>
    <row r="34" spans="2:19" s="121" customFormat="1" ht="16.5" customHeight="1" x14ac:dyDescent="0.2">
      <c r="B34" s="120"/>
      <c r="C34" s="56" t="s">
        <v>1</v>
      </c>
      <c r="D34" s="56" t="s">
        <v>96</v>
      </c>
      <c r="E34" s="57" t="s">
        <v>196</v>
      </c>
      <c r="F34" s="58" t="s">
        <v>197</v>
      </c>
      <c r="G34" s="59" t="s">
        <v>150</v>
      </c>
      <c r="H34" s="60">
        <v>36.72</v>
      </c>
      <c r="I34" s="61">
        <v>11.84</v>
      </c>
      <c r="J34" s="60">
        <v>434.8</v>
      </c>
      <c r="K34" s="68">
        <f t="shared" si="0"/>
        <v>-0.59</v>
      </c>
      <c r="L34" s="69">
        <f t="shared" si="1"/>
        <v>11.84</v>
      </c>
      <c r="M34" s="273">
        <f t="shared" si="2"/>
        <v>-6.9855999999999998</v>
      </c>
      <c r="N34" s="71">
        <f t="shared" si="3"/>
        <v>36.129999999999995</v>
      </c>
      <c r="O34" s="72">
        <f t="shared" si="4"/>
        <v>11.84</v>
      </c>
      <c r="P34" s="274">
        <f t="shared" si="5"/>
        <v>427.77919999999995</v>
      </c>
      <c r="Q34" s="237">
        <f t="shared" si="6"/>
        <v>39.08</v>
      </c>
      <c r="S34" s="194"/>
    </row>
    <row r="35" spans="2:19" s="121" customFormat="1" ht="16.5" customHeight="1" x14ac:dyDescent="0.2">
      <c r="B35" s="120"/>
      <c r="C35" s="56" t="s">
        <v>159</v>
      </c>
      <c r="D35" s="56" t="s">
        <v>96</v>
      </c>
      <c r="E35" s="57" t="s">
        <v>199</v>
      </c>
      <c r="F35" s="58" t="s">
        <v>200</v>
      </c>
      <c r="G35" s="59" t="s">
        <v>201</v>
      </c>
      <c r="H35" s="60">
        <v>73.44</v>
      </c>
      <c r="I35" s="61">
        <v>116</v>
      </c>
      <c r="J35" s="60">
        <v>8519</v>
      </c>
      <c r="K35" s="68">
        <f t="shared" si="0"/>
        <v>-1.17</v>
      </c>
      <c r="L35" s="69">
        <f t="shared" si="1"/>
        <v>116</v>
      </c>
      <c r="M35" s="273">
        <f t="shared" si="2"/>
        <v>-135.72</v>
      </c>
      <c r="N35" s="71">
        <f t="shared" si="3"/>
        <v>72.27</v>
      </c>
      <c r="O35" s="72">
        <f t="shared" si="4"/>
        <v>116</v>
      </c>
      <c r="P35" s="274">
        <f t="shared" si="5"/>
        <v>8383.32</v>
      </c>
      <c r="Q35" s="237">
        <f t="shared" si="6"/>
        <v>78.17</v>
      </c>
      <c r="S35" s="194"/>
    </row>
    <row r="36" spans="2:19" s="121" customFormat="1" ht="16.5" customHeight="1" x14ac:dyDescent="0.2">
      <c r="B36" s="120"/>
      <c r="C36" s="56" t="s">
        <v>162</v>
      </c>
      <c r="D36" s="56" t="s">
        <v>96</v>
      </c>
      <c r="E36" s="57" t="s">
        <v>203</v>
      </c>
      <c r="F36" s="58" t="s">
        <v>204</v>
      </c>
      <c r="G36" s="59" t="s">
        <v>150</v>
      </c>
      <c r="H36" s="60">
        <v>67.790000000000006</v>
      </c>
      <c r="I36" s="61">
        <v>143.36000000000001</v>
      </c>
      <c r="J36" s="60">
        <v>9718.4</v>
      </c>
      <c r="K36" s="68">
        <f t="shared" si="0"/>
        <v>-1.08</v>
      </c>
      <c r="L36" s="69">
        <f t="shared" si="1"/>
        <v>143.36000000000001</v>
      </c>
      <c r="M36" s="273">
        <f t="shared" si="2"/>
        <v>-154.82880000000003</v>
      </c>
      <c r="N36" s="71">
        <f t="shared" si="3"/>
        <v>66.710000000000008</v>
      </c>
      <c r="O36" s="72">
        <f t="shared" si="4"/>
        <v>143.36000000000001</v>
      </c>
      <c r="P36" s="274">
        <f t="shared" si="5"/>
        <v>9563.5456000000013</v>
      </c>
      <c r="Q36" s="237">
        <f t="shared" si="6"/>
        <v>72.16</v>
      </c>
      <c r="S36" s="194"/>
    </row>
    <row r="37" spans="2:19" s="121" customFormat="1" ht="16.5" customHeight="1" x14ac:dyDescent="0.2">
      <c r="B37" s="120"/>
      <c r="C37" s="56" t="s">
        <v>165</v>
      </c>
      <c r="D37" s="56" t="s">
        <v>96</v>
      </c>
      <c r="E37" s="57" t="s">
        <v>206</v>
      </c>
      <c r="F37" s="58" t="s">
        <v>207</v>
      </c>
      <c r="G37" s="59" t="s">
        <v>150</v>
      </c>
      <c r="H37" s="60">
        <v>22.74</v>
      </c>
      <c r="I37" s="61">
        <v>318.27999999999997</v>
      </c>
      <c r="J37" s="60">
        <v>7237.7</v>
      </c>
      <c r="K37" s="68">
        <f t="shared" si="0"/>
        <v>-0.36</v>
      </c>
      <c r="L37" s="69">
        <f t="shared" si="1"/>
        <v>318.27999999999997</v>
      </c>
      <c r="M37" s="273">
        <f t="shared" si="2"/>
        <v>-114.58079999999998</v>
      </c>
      <c r="N37" s="71">
        <f t="shared" si="3"/>
        <v>22.38</v>
      </c>
      <c r="O37" s="72">
        <f t="shared" si="4"/>
        <v>318.27999999999997</v>
      </c>
      <c r="P37" s="274">
        <f t="shared" si="5"/>
        <v>7123.1063999999988</v>
      </c>
      <c r="Q37" s="237">
        <f t="shared" si="6"/>
        <v>24.2</v>
      </c>
      <c r="S37" s="194"/>
    </row>
    <row r="38" spans="2:19" s="121" customFormat="1" ht="16.5" customHeight="1" x14ac:dyDescent="0.2">
      <c r="B38" s="120"/>
      <c r="C38" s="73" t="s">
        <v>168</v>
      </c>
      <c r="D38" s="73" t="s">
        <v>209</v>
      </c>
      <c r="E38" s="74" t="s">
        <v>210</v>
      </c>
      <c r="F38" s="75" t="s">
        <v>211</v>
      </c>
      <c r="G38" s="76" t="s">
        <v>201</v>
      </c>
      <c r="H38" s="77">
        <v>45.48</v>
      </c>
      <c r="I38" s="78">
        <v>172.71</v>
      </c>
      <c r="J38" s="77">
        <v>7854.9</v>
      </c>
      <c r="K38" s="68">
        <f t="shared" si="0"/>
        <v>-0.73</v>
      </c>
      <c r="L38" s="69">
        <f t="shared" si="1"/>
        <v>172.71</v>
      </c>
      <c r="M38" s="273">
        <f t="shared" si="2"/>
        <v>-126.0783</v>
      </c>
      <c r="N38" s="71">
        <f t="shared" si="3"/>
        <v>44.75</v>
      </c>
      <c r="O38" s="72">
        <f t="shared" si="4"/>
        <v>172.71</v>
      </c>
      <c r="P38" s="274">
        <f t="shared" si="5"/>
        <v>7728.7725</v>
      </c>
      <c r="Q38" s="237">
        <f t="shared" si="6"/>
        <v>48.41</v>
      </c>
      <c r="S38" s="194"/>
    </row>
    <row r="39" spans="2:19" s="170" customFormat="1" ht="22.9" customHeight="1" x14ac:dyDescent="0.2">
      <c r="B39" s="165"/>
      <c r="C39" s="252"/>
      <c r="D39" s="253" t="s">
        <v>4</v>
      </c>
      <c r="E39" s="254" t="s">
        <v>13</v>
      </c>
      <c r="F39" s="254" t="s">
        <v>222</v>
      </c>
      <c r="G39" s="252"/>
      <c r="H39" s="252"/>
      <c r="I39" s="255"/>
      <c r="J39" s="256">
        <f>+SUBTOTAL(9,J40:J41)</f>
        <v>1482.8999999999999</v>
      </c>
      <c r="K39" s="261"/>
      <c r="L39" s="262"/>
      <c r="M39" s="279">
        <f>M40+M41</f>
        <v>-23.676000000000002</v>
      </c>
      <c r="N39" s="280"/>
      <c r="O39" s="262"/>
      <c r="P39" s="279">
        <f>P40+P41</f>
        <v>1459.2307999999998</v>
      </c>
      <c r="Q39" s="237"/>
      <c r="R39" s="121"/>
      <c r="S39" s="194"/>
    </row>
    <row r="40" spans="2:19" s="121" customFormat="1" ht="16.5" customHeight="1" x14ac:dyDescent="0.2">
      <c r="B40" s="120"/>
      <c r="C40" s="56" t="s">
        <v>171</v>
      </c>
      <c r="D40" s="56" t="s">
        <v>96</v>
      </c>
      <c r="E40" s="57" t="s">
        <v>224</v>
      </c>
      <c r="F40" s="58" t="s">
        <v>225</v>
      </c>
      <c r="G40" s="59" t="s">
        <v>133</v>
      </c>
      <c r="H40" s="60">
        <v>37.58</v>
      </c>
      <c r="I40" s="61">
        <v>32.880000000000003</v>
      </c>
      <c r="J40" s="60">
        <v>1235.5999999999999</v>
      </c>
      <c r="K40" s="68">
        <f t="shared" si="0"/>
        <v>-0.6</v>
      </c>
      <c r="L40" s="69">
        <f t="shared" si="1"/>
        <v>32.880000000000003</v>
      </c>
      <c r="M40" s="273">
        <f t="shared" si="2"/>
        <v>-19.728000000000002</v>
      </c>
      <c r="N40" s="71">
        <f t="shared" si="3"/>
        <v>36.979999999999997</v>
      </c>
      <c r="O40" s="72">
        <f t="shared" si="4"/>
        <v>32.880000000000003</v>
      </c>
      <c r="P40" s="274">
        <f t="shared" si="5"/>
        <v>1215.9023999999999</v>
      </c>
      <c r="Q40" s="237">
        <f t="shared" si="6"/>
        <v>40</v>
      </c>
      <c r="S40" s="194"/>
    </row>
    <row r="41" spans="2:19" s="121" customFormat="1" ht="16.5" customHeight="1" x14ac:dyDescent="0.2">
      <c r="B41" s="120"/>
      <c r="C41" s="56" t="s">
        <v>174</v>
      </c>
      <c r="D41" s="56" t="s">
        <v>96</v>
      </c>
      <c r="E41" s="57" t="s">
        <v>227</v>
      </c>
      <c r="F41" s="58" t="s">
        <v>228</v>
      </c>
      <c r="G41" s="59" t="s">
        <v>133</v>
      </c>
      <c r="H41" s="60">
        <v>37.58</v>
      </c>
      <c r="I41" s="61">
        <v>6.58</v>
      </c>
      <c r="J41" s="60">
        <v>247.3</v>
      </c>
      <c r="K41" s="68">
        <f t="shared" si="0"/>
        <v>-0.6</v>
      </c>
      <c r="L41" s="69">
        <f t="shared" si="1"/>
        <v>6.58</v>
      </c>
      <c r="M41" s="273">
        <f t="shared" si="2"/>
        <v>-3.948</v>
      </c>
      <c r="N41" s="71">
        <f t="shared" si="3"/>
        <v>36.979999999999997</v>
      </c>
      <c r="O41" s="72">
        <f t="shared" si="4"/>
        <v>6.58</v>
      </c>
      <c r="P41" s="274">
        <f t="shared" si="5"/>
        <v>243.32839999999999</v>
      </c>
      <c r="Q41" s="237">
        <f t="shared" si="6"/>
        <v>40</v>
      </c>
      <c r="S41" s="194"/>
    </row>
    <row r="42" spans="2:19" s="170" customFormat="1" ht="22.9" customHeight="1" x14ac:dyDescent="0.2">
      <c r="B42" s="165"/>
      <c r="C42" s="252"/>
      <c r="D42" s="253" t="s">
        <v>4</v>
      </c>
      <c r="E42" s="254" t="s">
        <v>100</v>
      </c>
      <c r="F42" s="254" t="s">
        <v>229</v>
      </c>
      <c r="G42" s="252"/>
      <c r="H42" s="252"/>
      <c r="I42" s="255"/>
      <c r="J42" s="256">
        <f>+SUBTOTAL(9,J43:J44)</f>
        <v>19673.099999999999</v>
      </c>
      <c r="K42" s="261"/>
      <c r="L42" s="262"/>
      <c r="M42" s="279">
        <f>M43+M44</f>
        <v>-323.40569999999997</v>
      </c>
      <c r="N42" s="280"/>
      <c r="O42" s="262"/>
      <c r="P42" s="279">
        <f>P43+P44</f>
        <v>19349.764800000001</v>
      </c>
      <c r="Q42" s="237"/>
      <c r="R42" s="121"/>
      <c r="S42" s="194"/>
    </row>
    <row r="43" spans="2:19" s="121" customFormat="1" ht="12" x14ac:dyDescent="0.2">
      <c r="B43" s="120"/>
      <c r="C43" s="56" t="s">
        <v>177</v>
      </c>
      <c r="D43" s="56" t="s">
        <v>96</v>
      </c>
      <c r="E43" s="57" t="s">
        <v>252</v>
      </c>
      <c r="F43" s="58" t="s">
        <v>253</v>
      </c>
      <c r="G43" s="59" t="s">
        <v>150</v>
      </c>
      <c r="H43" s="60">
        <v>5.67</v>
      </c>
      <c r="I43" s="61">
        <v>3239.16</v>
      </c>
      <c r="J43" s="60">
        <v>18366</v>
      </c>
      <c r="K43" s="68">
        <f t="shared" si="0"/>
        <v>-0.09</v>
      </c>
      <c r="L43" s="69">
        <f t="shared" si="1"/>
        <v>3239.16</v>
      </c>
      <c r="M43" s="273">
        <f t="shared" si="2"/>
        <v>-291.52439999999996</v>
      </c>
      <c r="N43" s="71">
        <f t="shared" si="3"/>
        <v>5.58</v>
      </c>
      <c r="O43" s="72">
        <f t="shared" si="4"/>
        <v>3239.16</v>
      </c>
      <c r="P43" s="274">
        <f t="shared" si="5"/>
        <v>18074.5128</v>
      </c>
      <c r="Q43" s="237">
        <f t="shared" si="6"/>
        <v>6.04</v>
      </c>
      <c r="R43" s="121" t="s">
        <v>925</v>
      </c>
      <c r="S43" s="194"/>
    </row>
    <row r="44" spans="2:19" s="121" customFormat="1" ht="16.5" customHeight="1" x14ac:dyDescent="0.2">
      <c r="B44" s="120"/>
      <c r="C44" s="56" t="s">
        <v>180</v>
      </c>
      <c r="D44" s="56" t="s">
        <v>96</v>
      </c>
      <c r="E44" s="57" t="s">
        <v>255</v>
      </c>
      <c r="F44" s="58" t="s">
        <v>256</v>
      </c>
      <c r="G44" s="59" t="s">
        <v>150</v>
      </c>
      <c r="H44" s="60">
        <v>0.41</v>
      </c>
      <c r="I44" s="61">
        <v>3188.13</v>
      </c>
      <c r="J44" s="60">
        <v>1307.0999999999999</v>
      </c>
      <c r="K44" s="68">
        <f t="shared" si="0"/>
        <v>-0.01</v>
      </c>
      <c r="L44" s="69">
        <f t="shared" si="1"/>
        <v>3188.13</v>
      </c>
      <c r="M44" s="273">
        <f t="shared" si="2"/>
        <v>-31.881300000000003</v>
      </c>
      <c r="N44" s="71">
        <f t="shared" si="3"/>
        <v>0.39999999999999997</v>
      </c>
      <c r="O44" s="72">
        <f t="shared" si="4"/>
        <v>3188.13</v>
      </c>
      <c r="P44" s="274">
        <f t="shared" si="5"/>
        <v>1275.252</v>
      </c>
      <c r="Q44" s="237">
        <f t="shared" si="6"/>
        <v>0.44</v>
      </c>
      <c r="R44" s="121" t="s">
        <v>1128</v>
      </c>
      <c r="S44" s="194"/>
    </row>
    <row r="45" spans="2:19" s="170" customFormat="1" ht="22.9" customHeight="1" x14ac:dyDescent="0.2">
      <c r="B45" s="165"/>
      <c r="C45" s="252"/>
      <c r="D45" s="253" t="s">
        <v>4</v>
      </c>
      <c r="E45" s="254" t="s">
        <v>105</v>
      </c>
      <c r="F45" s="254" t="s">
        <v>257</v>
      </c>
      <c r="G45" s="252"/>
      <c r="H45" s="252"/>
      <c r="I45" s="255"/>
      <c r="J45" s="256">
        <f>+SUBTOTAL(9,J46:J50)</f>
        <v>26848.5</v>
      </c>
      <c r="K45" s="261"/>
      <c r="L45" s="262"/>
      <c r="M45" s="279">
        <f>SUM(M46:M50)</f>
        <v>0</v>
      </c>
      <c r="N45" s="280"/>
      <c r="O45" s="262"/>
      <c r="P45" s="279">
        <f>SUM(P46:P50)</f>
        <v>26848.404000000002</v>
      </c>
      <c r="Q45" s="237"/>
      <c r="R45" s="121"/>
      <c r="S45" s="194"/>
    </row>
    <row r="46" spans="2:19" s="121" customFormat="1" ht="16.5" customHeight="1" x14ac:dyDescent="0.2">
      <c r="B46" s="120"/>
      <c r="C46" s="56" t="s">
        <v>183</v>
      </c>
      <c r="D46" s="56" t="s">
        <v>96</v>
      </c>
      <c r="E46" s="57" t="s">
        <v>259</v>
      </c>
      <c r="F46" s="58" t="s">
        <v>260</v>
      </c>
      <c r="G46" s="59" t="s">
        <v>108</v>
      </c>
      <c r="H46" s="60">
        <v>7.7</v>
      </c>
      <c r="I46" s="61">
        <v>155.66999999999999</v>
      </c>
      <c r="J46" s="60">
        <v>1198.7</v>
      </c>
      <c r="K46" s="68">
        <v>0</v>
      </c>
      <c r="L46" s="69">
        <f t="shared" si="1"/>
        <v>155.66999999999999</v>
      </c>
      <c r="M46" s="273">
        <f t="shared" si="2"/>
        <v>0</v>
      </c>
      <c r="N46" s="71">
        <f t="shared" si="3"/>
        <v>7.7</v>
      </c>
      <c r="O46" s="72">
        <f t="shared" si="4"/>
        <v>155.66999999999999</v>
      </c>
      <c r="P46" s="274">
        <f t="shared" si="5"/>
        <v>1198.6589999999999</v>
      </c>
      <c r="Q46" s="237">
        <f t="shared" si="6"/>
        <v>8.1999999999999993</v>
      </c>
      <c r="S46" s="194"/>
    </row>
    <row r="47" spans="2:19" s="121" customFormat="1" ht="16.5" customHeight="1" x14ac:dyDescent="0.2">
      <c r="B47" s="120"/>
      <c r="C47" s="56" t="s">
        <v>186</v>
      </c>
      <c r="D47" s="56" t="s">
        <v>96</v>
      </c>
      <c r="E47" s="57" t="s">
        <v>262</v>
      </c>
      <c r="F47" s="58" t="s">
        <v>263</v>
      </c>
      <c r="G47" s="59" t="s">
        <v>108</v>
      </c>
      <c r="H47" s="60">
        <v>36.299999999999997</v>
      </c>
      <c r="I47" s="61">
        <v>302.54000000000002</v>
      </c>
      <c r="J47" s="60">
        <v>10982.2</v>
      </c>
      <c r="K47" s="68">
        <v>0</v>
      </c>
      <c r="L47" s="69">
        <f t="shared" si="1"/>
        <v>302.54000000000002</v>
      </c>
      <c r="M47" s="273">
        <f t="shared" si="2"/>
        <v>0</v>
      </c>
      <c r="N47" s="71">
        <f t="shared" si="3"/>
        <v>36.299999999999997</v>
      </c>
      <c r="O47" s="72">
        <f t="shared" si="4"/>
        <v>302.54000000000002</v>
      </c>
      <c r="P47" s="274">
        <f t="shared" si="5"/>
        <v>10982.201999999999</v>
      </c>
      <c r="Q47" s="237">
        <f t="shared" si="6"/>
        <v>38.64</v>
      </c>
      <c r="S47" s="194"/>
    </row>
    <row r="48" spans="2:19" s="121" customFormat="1" ht="16.5" customHeight="1" x14ac:dyDescent="0.2">
      <c r="B48" s="120"/>
      <c r="C48" s="56" t="s">
        <v>189</v>
      </c>
      <c r="D48" s="56" t="s">
        <v>96</v>
      </c>
      <c r="E48" s="57" t="s">
        <v>265</v>
      </c>
      <c r="F48" s="58" t="s">
        <v>266</v>
      </c>
      <c r="G48" s="59" t="s">
        <v>108</v>
      </c>
      <c r="H48" s="60">
        <v>36.299999999999997</v>
      </c>
      <c r="I48" s="61">
        <v>86.36</v>
      </c>
      <c r="J48" s="60">
        <v>3134.9</v>
      </c>
      <c r="K48" s="68">
        <v>0</v>
      </c>
      <c r="L48" s="69">
        <f t="shared" si="1"/>
        <v>86.36</v>
      </c>
      <c r="M48" s="273">
        <f t="shared" si="2"/>
        <v>0</v>
      </c>
      <c r="N48" s="71">
        <f t="shared" si="3"/>
        <v>36.299999999999997</v>
      </c>
      <c r="O48" s="72">
        <f t="shared" si="4"/>
        <v>86.36</v>
      </c>
      <c r="P48" s="274">
        <f t="shared" si="5"/>
        <v>3134.8679999999999</v>
      </c>
      <c r="Q48" s="237">
        <f t="shared" si="6"/>
        <v>38.64</v>
      </c>
      <c r="S48" s="194"/>
    </row>
    <row r="49" spans="2:19" s="121" customFormat="1" ht="16.5" customHeight="1" x14ac:dyDescent="0.2">
      <c r="B49" s="120"/>
      <c r="C49" s="56" t="s">
        <v>192</v>
      </c>
      <c r="D49" s="56" t="s">
        <v>96</v>
      </c>
      <c r="E49" s="57" t="s">
        <v>283</v>
      </c>
      <c r="F49" s="58" t="s">
        <v>284</v>
      </c>
      <c r="G49" s="59" t="s">
        <v>108</v>
      </c>
      <c r="H49" s="60">
        <v>7.7</v>
      </c>
      <c r="I49" s="61">
        <v>745.05</v>
      </c>
      <c r="J49" s="60">
        <v>5736.9</v>
      </c>
      <c r="K49" s="68">
        <v>0</v>
      </c>
      <c r="L49" s="69">
        <f t="shared" si="1"/>
        <v>745.05</v>
      </c>
      <c r="M49" s="273">
        <f t="shared" si="2"/>
        <v>0</v>
      </c>
      <c r="N49" s="71">
        <f t="shared" si="3"/>
        <v>7.7</v>
      </c>
      <c r="O49" s="72">
        <f t="shared" si="4"/>
        <v>745.05</v>
      </c>
      <c r="P49" s="274">
        <f t="shared" si="5"/>
        <v>5736.8850000000002</v>
      </c>
      <c r="Q49" s="237">
        <f t="shared" si="6"/>
        <v>8.1999999999999993</v>
      </c>
      <c r="S49" s="194"/>
    </row>
    <row r="50" spans="2:19" s="121" customFormat="1" ht="16.5" customHeight="1" x14ac:dyDescent="0.2">
      <c r="B50" s="120"/>
      <c r="C50" s="73" t="s">
        <v>195</v>
      </c>
      <c r="D50" s="73" t="s">
        <v>209</v>
      </c>
      <c r="E50" s="74" t="s">
        <v>286</v>
      </c>
      <c r="F50" s="75" t="s">
        <v>287</v>
      </c>
      <c r="G50" s="76" t="s">
        <v>201</v>
      </c>
      <c r="H50" s="77">
        <v>1.54</v>
      </c>
      <c r="I50" s="78">
        <v>3763.5</v>
      </c>
      <c r="J50" s="77">
        <v>5795.8</v>
      </c>
      <c r="K50" s="68">
        <v>0</v>
      </c>
      <c r="L50" s="69">
        <f t="shared" si="1"/>
        <v>3763.5</v>
      </c>
      <c r="M50" s="273">
        <f t="shared" si="2"/>
        <v>0</v>
      </c>
      <c r="N50" s="71">
        <f t="shared" si="3"/>
        <v>1.54</v>
      </c>
      <c r="O50" s="72">
        <f t="shared" si="4"/>
        <v>3763.5</v>
      </c>
      <c r="P50" s="274">
        <f t="shared" si="5"/>
        <v>5795.79</v>
      </c>
      <c r="Q50" s="237">
        <f t="shared" si="6"/>
        <v>1.64</v>
      </c>
      <c r="S50" s="194"/>
    </row>
    <row r="51" spans="2:19" s="170" customFormat="1" ht="22.9" customHeight="1" x14ac:dyDescent="0.2">
      <c r="B51" s="165"/>
      <c r="C51" s="252"/>
      <c r="D51" s="253" t="s">
        <v>4</v>
      </c>
      <c r="E51" s="254" t="s">
        <v>115</v>
      </c>
      <c r="F51" s="254" t="s">
        <v>288</v>
      </c>
      <c r="G51" s="252"/>
      <c r="H51" s="252"/>
      <c r="I51" s="255"/>
      <c r="J51" s="256">
        <f>+SUBTOTAL(9,J52:J69)</f>
        <v>131858.6</v>
      </c>
      <c r="K51" s="261"/>
      <c r="L51" s="262"/>
      <c r="M51" s="279">
        <f>SUM(M52:M69)</f>
        <v>-1013.8019999999998</v>
      </c>
      <c r="N51" s="280"/>
      <c r="O51" s="262"/>
      <c r="P51" s="279">
        <f>SUM(P52:P69)</f>
        <v>130845.07510000002</v>
      </c>
      <c r="Q51" s="237"/>
      <c r="R51" s="121"/>
      <c r="S51" s="194"/>
    </row>
    <row r="52" spans="2:19" s="121" customFormat="1" ht="16.5" customHeight="1" x14ac:dyDescent="0.2">
      <c r="B52" s="120"/>
      <c r="C52" s="56" t="s">
        <v>198</v>
      </c>
      <c r="D52" s="56" t="s">
        <v>96</v>
      </c>
      <c r="E52" s="57" t="s">
        <v>296</v>
      </c>
      <c r="F52" s="58" t="s">
        <v>297</v>
      </c>
      <c r="G52" s="59" t="s">
        <v>133</v>
      </c>
      <c r="H52" s="60">
        <v>37.58</v>
      </c>
      <c r="I52" s="61">
        <v>552.39</v>
      </c>
      <c r="J52" s="60">
        <v>20758.8</v>
      </c>
      <c r="K52" s="68">
        <f t="shared" ref="K52:K53" si="7">ROUND(39.4/40*Q52-Q52,2)</f>
        <v>-0.6</v>
      </c>
      <c r="L52" s="69">
        <f t="shared" si="1"/>
        <v>552.39</v>
      </c>
      <c r="M52" s="273">
        <f t="shared" si="2"/>
        <v>-331.43399999999997</v>
      </c>
      <c r="N52" s="71">
        <f t="shared" si="3"/>
        <v>36.979999999999997</v>
      </c>
      <c r="O52" s="72">
        <f t="shared" si="4"/>
        <v>552.39</v>
      </c>
      <c r="P52" s="274">
        <f t="shared" si="5"/>
        <v>20427.382199999996</v>
      </c>
      <c r="Q52" s="237">
        <f t="shared" si="6"/>
        <v>40</v>
      </c>
      <c r="S52" s="194"/>
    </row>
    <row r="53" spans="2:19" s="121" customFormat="1" ht="16.5" customHeight="1" x14ac:dyDescent="0.2">
      <c r="B53" s="120"/>
      <c r="C53" s="73" t="s">
        <v>202</v>
      </c>
      <c r="D53" s="73" t="s">
        <v>209</v>
      </c>
      <c r="E53" s="74" t="s">
        <v>299</v>
      </c>
      <c r="F53" s="75" t="s">
        <v>300</v>
      </c>
      <c r="G53" s="76" t="s">
        <v>133</v>
      </c>
      <c r="H53" s="77">
        <v>37.58</v>
      </c>
      <c r="I53" s="78">
        <v>1060.07</v>
      </c>
      <c r="J53" s="77">
        <v>39837.4</v>
      </c>
      <c r="K53" s="68">
        <f t="shared" si="7"/>
        <v>-0.6</v>
      </c>
      <c r="L53" s="69">
        <f t="shared" si="1"/>
        <v>1060.07</v>
      </c>
      <c r="M53" s="273">
        <f t="shared" si="2"/>
        <v>-636.04199999999992</v>
      </c>
      <c r="N53" s="71">
        <f t="shared" si="3"/>
        <v>36.979999999999997</v>
      </c>
      <c r="O53" s="72">
        <f t="shared" si="4"/>
        <v>1060.07</v>
      </c>
      <c r="P53" s="274">
        <f t="shared" si="5"/>
        <v>39201.388599999991</v>
      </c>
      <c r="Q53" s="237">
        <f t="shared" si="6"/>
        <v>40</v>
      </c>
      <c r="S53" s="194"/>
    </row>
    <row r="54" spans="2:19" s="121" customFormat="1" ht="16.5" customHeight="1" x14ac:dyDescent="0.2">
      <c r="B54" s="120"/>
      <c r="C54" s="73" t="s">
        <v>205</v>
      </c>
      <c r="D54" s="73" t="s">
        <v>209</v>
      </c>
      <c r="E54" s="74" t="s">
        <v>302</v>
      </c>
      <c r="F54" s="75" t="s">
        <v>303</v>
      </c>
      <c r="G54" s="76" t="s">
        <v>99</v>
      </c>
      <c r="H54" s="77">
        <v>2</v>
      </c>
      <c r="I54" s="78">
        <v>739.15</v>
      </c>
      <c r="J54" s="77">
        <v>1478.3</v>
      </c>
      <c r="K54" s="68">
        <v>0</v>
      </c>
      <c r="L54" s="69">
        <f t="shared" si="1"/>
        <v>739.15</v>
      </c>
      <c r="M54" s="273">
        <f t="shared" si="2"/>
        <v>0</v>
      </c>
      <c r="N54" s="71">
        <f t="shared" si="3"/>
        <v>2</v>
      </c>
      <c r="O54" s="72">
        <f t="shared" si="4"/>
        <v>739.15</v>
      </c>
      <c r="P54" s="274">
        <f t="shared" si="5"/>
        <v>1478.3</v>
      </c>
      <c r="Q54" s="237">
        <f t="shared" si="6"/>
        <v>2.13</v>
      </c>
      <c r="S54" s="194"/>
    </row>
    <row r="55" spans="2:19" s="121" customFormat="1" ht="16.5" customHeight="1" x14ac:dyDescent="0.2">
      <c r="B55" s="120"/>
      <c r="C55" s="56" t="s">
        <v>208</v>
      </c>
      <c r="D55" s="56" t="s">
        <v>96</v>
      </c>
      <c r="E55" s="57" t="s">
        <v>329</v>
      </c>
      <c r="F55" s="58" t="s">
        <v>330</v>
      </c>
      <c r="G55" s="59" t="s">
        <v>99</v>
      </c>
      <c r="H55" s="60">
        <v>3</v>
      </c>
      <c r="I55" s="61">
        <v>219.64</v>
      </c>
      <c r="J55" s="60">
        <v>658.9</v>
      </c>
      <c r="K55" s="68">
        <v>0</v>
      </c>
      <c r="L55" s="69">
        <f t="shared" si="1"/>
        <v>219.64</v>
      </c>
      <c r="M55" s="273">
        <f t="shared" si="2"/>
        <v>0</v>
      </c>
      <c r="N55" s="71">
        <f t="shared" si="3"/>
        <v>3</v>
      </c>
      <c r="O55" s="72">
        <f t="shared" si="4"/>
        <v>219.64</v>
      </c>
      <c r="P55" s="274">
        <f t="shared" si="5"/>
        <v>658.92</v>
      </c>
      <c r="Q55" s="237">
        <f t="shared" si="6"/>
        <v>3.19</v>
      </c>
      <c r="S55" s="194"/>
    </row>
    <row r="56" spans="2:19" s="121" customFormat="1" ht="16.5" customHeight="1" x14ac:dyDescent="0.2">
      <c r="B56" s="120"/>
      <c r="C56" s="73" t="s">
        <v>212</v>
      </c>
      <c r="D56" s="73" t="s">
        <v>209</v>
      </c>
      <c r="E56" s="74" t="s">
        <v>332</v>
      </c>
      <c r="F56" s="75" t="s">
        <v>333</v>
      </c>
      <c r="G56" s="76" t="s">
        <v>99</v>
      </c>
      <c r="H56" s="77">
        <v>1.02</v>
      </c>
      <c r="I56" s="78">
        <v>1129.77</v>
      </c>
      <c r="J56" s="77">
        <v>1152.4000000000001</v>
      </c>
      <c r="K56" s="68">
        <v>0</v>
      </c>
      <c r="L56" s="69">
        <f t="shared" si="1"/>
        <v>1129.77</v>
      </c>
      <c r="M56" s="273">
        <f t="shared" si="2"/>
        <v>0</v>
      </c>
      <c r="N56" s="71">
        <f t="shared" si="3"/>
        <v>1.02</v>
      </c>
      <c r="O56" s="72">
        <f t="shared" si="4"/>
        <v>1129.77</v>
      </c>
      <c r="P56" s="274">
        <f t="shared" si="5"/>
        <v>1152.3653999999999</v>
      </c>
      <c r="Q56" s="237">
        <f t="shared" si="6"/>
        <v>1.0900000000000001</v>
      </c>
      <c r="S56" s="194"/>
    </row>
    <row r="57" spans="2:19" s="121" customFormat="1" ht="16.5" customHeight="1" x14ac:dyDescent="0.2">
      <c r="B57" s="120"/>
      <c r="C57" s="73" t="s">
        <v>215</v>
      </c>
      <c r="D57" s="73" t="s">
        <v>209</v>
      </c>
      <c r="E57" s="74" t="s">
        <v>335</v>
      </c>
      <c r="F57" s="75" t="s">
        <v>336</v>
      </c>
      <c r="G57" s="76" t="s">
        <v>99</v>
      </c>
      <c r="H57" s="77">
        <v>2.0299999999999998</v>
      </c>
      <c r="I57" s="78">
        <v>1129.77</v>
      </c>
      <c r="J57" s="77">
        <v>2293.4</v>
      </c>
      <c r="K57" s="68">
        <v>0</v>
      </c>
      <c r="L57" s="69">
        <f t="shared" si="1"/>
        <v>1129.77</v>
      </c>
      <c r="M57" s="273">
        <f t="shared" si="2"/>
        <v>0</v>
      </c>
      <c r="N57" s="71">
        <f t="shared" si="3"/>
        <v>2.0299999999999998</v>
      </c>
      <c r="O57" s="72">
        <f t="shared" si="4"/>
        <v>1129.77</v>
      </c>
      <c r="P57" s="274">
        <f t="shared" si="5"/>
        <v>2293.4330999999997</v>
      </c>
      <c r="Q57" s="237">
        <f t="shared" si="6"/>
        <v>2.16</v>
      </c>
      <c r="S57" s="194"/>
    </row>
    <row r="58" spans="2:19" s="121" customFormat="1" ht="33.75" customHeight="1" x14ac:dyDescent="0.2">
      <c r="B58" s="120"/>
      <c r="C58" s="56" t="s">
        <v>219</v>
      </c>
      <c r="D58" s="56" t="s">
        <v>96</v>
      </c>
      <c r="E58" s="57" t="s">
        <v>347</v>
      </c>
      <c r="F58" s="58" t="s">
        <v>348</v>
      </c>
      <c r="G58" s="59" t="s">
        <v>133</v>
      </c>
      <c r="H58" s="60">
        <v>37.58</v>
      </c>
      <c r="I58" s="61">
        <v>68</v>
      </c>
      <c r="J58" s="60">
        <v>2555.4</v>
      </c>
      <c r="K58" s="68">
        <f t="shared" ref="K58" si="8">ROUND(39.4/40*Q58-Q58,2)</f>
        <v>-0.6</v>
      </c>
      <c r="L58" s="69">
        <f t="shared" si="1"/>
        <v>68</v>
      </c>
      <c r="M58" s="273">
        <f t="shared" si="2"/>
        <v>-40.799999999999997</v>
      </c>
      <c r="N58" s="71">
        <f t="shared" si="3"/>
        <v>36.979999999999997</v>
      </c>
      <c r="O58" s="72">
        <f t="shared" si="4"/>
        <v>68</v>
      </c>
      <c r="P58" s="274">
        <f t="shared" si="5"/>
        <v>2514.64</v>
      </c>
      <c r="Q58" s="237">
        <f t="shared" si="6"/>
        <v>40</v>
      </c>
      <c r="S58" s="194"/>
    </row>
    <row r="59" spans="2:19" s="121" customFormat="1" ht="16.5" customHeight="1" x14ac:dyDescent="0.2">
      <c r="B59" s="120"/>
      <c r="C59" s="56" t="s">
        <v>223</v>
      </c>
      <c r="D59" s="56" t="s">
        <v>96</v>
      </c>
      <c r="E59" s="57" t="s">
        <v>350</v>
      </c>
      <c r="F59" s="58" t="s">
        <v>351</v>
      </c>
      <c r="G59" s="59" t="s">
        <v>99</v>
      </c>
      <c r="H59" s="60">
        <v>4</v>
      </c>
      <c r="I59" s="61">
        <v>808.86</v>
      </c>
      <c r="J59" s="60">
        <v>3235.4</v>
      </c>
      <c r="K59" s="68">
        <v>0</v>
      </c>
      <c r="L59" s="69">
        <f t="shared" si="1"/>
        <v>808.86</v>
      </c>
      <c r="M59" s="273">
        <f t="shared" si="2"/>
        <v>0</v>
      </c>
      <c r="N59" s="71">
        <f t="shared" si="3"/>
        <v>4</v>
      </c>
      <c r="O59" s="72">
        <f t="shared" si="4"/>
        <v>808.86</v>
      </c>
      <c r="P59" s="274">
        <f t="shared" si="5"/>
        <v>3235.44</v>
      </c>
      <c r="Q59" s="237">
        <f t="shared" si="6"/>
        <v>4.26</v>
      </c>
      <c r="S59" s="194"/>
    </row>
    <row r="60" spans="2:19" s="121" customFormat="1" ht="16.5" customHeight="1" x14ac:dyDescent="0.2">
      <c r="B60" s="120"/>
      <c r="C60" s="73" t="s">
        <v>226</v>
      </c>
      <c r="D60" s="73" t="s">
        <v>209</v>
      </c>
      <c r="E60" s="74" t="s">
        <v>356</v>
      </c>
      <c r="F60" s="75" t="s">
        <v>357</v>
      </c>
      <c r="G60" s="76" t="s">
        <v>99</v>
      </c>
      <c r="H60" s="77">
        <v>2</v>
      </c>
      <c r="I60" s="78">
        <v>1202.1099999999999</v>
      </c>
      <c r="J60" s="77">
        <v>2404.1999999999998</v>
      </c>
      <c r="K60" s="68">
        <v>0</v>
      </c>
      <c r="L60" s="69">
        <f t="shared" si="1"/>
        <v>1202.1099999999999</v>
      </c>
      <c r="M60" s="273">
        <f t="shared" si="2"/>
        <v>0</v>
      </c>
      <c r="N60" s="71">
        <f t="shared" si="3"/>
        <v>2</v>
      </c>
      <c r="O60" s="72">
        <f t="shared" si="4"/>
        <v>1202.1099999999999</v>
      </c>
      <c r="P60" s="274">
        <f t="shared" si="5"/>
        <v>2404.2199999999998</v>
      </c>
      <c r="Q60" s="237">
        <f t="shared" si="6"/>
        <v>2.13</v>
      </c>
      <c r="S60" s="194"/>
    </row>
    <row r="61" spans="2:19" s="121" customFormat="1" ht="16.5" customHeight="1" x14ac:dyDescent="0.2">
      <c r="B61" s="120"/>
      <c r="C61" s="73" t="s">
        <v>230</v>
      </c>
      <c r="D61" s="73" t="s">
        <v>209</v>
      </c>
      <c r="E61" s="74" t="s">
        <v>359</v>
      </c>
      <c r="F61" s="75" t="s">
        <v>360</v>
      </c>
      <c r="G61" s="76" t="s">
        <v>99</v>
      </c>
      <c r="H61" s="77">
        <v>2</v>
      </c>
      <c r="I61" s="78">
        <v>775.98</v>
      </c>
      <c r="J61" s="77">
        <v>1552</v>
      </c>
      <c r="K61" s="68">
        <v>0</v>
      </c>
      <c r="L61" s="69">
        <f t="shared" si="1"/>
        <v>775.98</v>
      </c>
      <c r="M61" s="273">
        <f t="shared" si="2"/>
        <v>0</v>
      </c>
      <c r="N61" s="71">
        <f t="shared" si="3"/>
        <v>2</v>
      </c>
      <c r="O61" s="72">
        <f t="shared" si="4"/>
        <v>775.98</v>
      </c>
      <c r="P61" s="274">
        <f t="shared" si="5"/>
        <v>1551.96</v>
      </c>
      <c r="Q61" s="237">
        <f t="shared" si="6"/>
        <v>2.13</v>
      </c>
      <c r="S61" s="194"/>
    </row>
    <row r="62" spans="2:19" s="121" customFormat="1" ht="16.5" customHeight="1" x14ac:dyDescent="0.2">
      <c r="B62" s="120"/>
      <c r="C62" s="73" t="s">
        <v>233</v>
      </c>
      <c r="D62" s="73" t="s">
        <v>209</v>
      </c>
      <c r="E62" s="74" t="s">
        <v>362</v>
      </c>
      <c r="F62" s="75" t="s">
        <v>363</v>
      </c>
      <c r="G62" s="76" t="s">
        <v>99</v>
      </c>
      <c r="H62" s="77">
        <v>6</v>
      </c>
      <c r="I62" s="78">
        <v>211.75</v>
      </c>
      <c r="J62" s="77">
        <v>1270.5</v>
      </c>
      <c r="K62" s="68">
        <v>0</v>
      </c>
      <c r="L62" s="69">
        <f t="shared" si="1"/>
        <v>211.75</v>
      </c>
      <c r="M62" s="273">
        <f t="shared" si="2"/>
        <v>0</v>
      </c>
      <c r="N62" s="71">
        <f t="shared" si="3"/>
        <v>6</v>
      </c>
      <c r="O62" s="72">
        <f t="shared" si="4"/>
        <v>211.75</v>
      </c>
      <c r="P62" s="274">
        <f t="shared" si="5"/>
        <v>1270.5</v>
      </c>
      <c r="Q62" s="237">
        <f t="shared" si="6"/>
        <v>6.39</v>
      </c>
      <c r="S62" s="194"/>
    </row>
    <row r="63" spans="2:19" s="121" customFormat="1" ht="16.5" customHeight="1" x14ac:dyDescent="0.2">
      <c r="B63" s="120"/>
      <c r="C63" s="56" t="s">
        <v>236</v>
      </c>
      <c r="D63" s="56" t="s">
        <v>96</v>
      </c>
      <c r="E63" s="57" t="s">
        <v>365</v>
      </c>
      <c r="F63" s="58" t="s">
        <v>366</v>
      </c>
      <c r="G63" s="59" t="s">
        <v>99</v>
      </c>
      <c r="H63" s="60">
        <v>2</v>
      </c>
      <c r="I63" s="61">
        <v>808.86</v>
      </c>
      <c r="J63" s="60">
        <v>1617.7</v>
      </c>
      <c r="K63" s="68">
        <v>0</v>
      </c>
      <c r="L63" s="69">
        <f t="shared" si="1"/>
        <v>808.86</v>
      </c>
      <c r="M63" s="273">
        <f t="shared" si="2"/>
        <v>0</v>
      </c>
      <c r="N63" s="71">
        <f t="shared" si="3"/>
        <v>2</v>
      </c>
      <c r="O63" s="72">
        <f t="shared" si="4"/>
        <v>808.86</v>
      </c>
      <c r="P63" s="274">
        <f t="shared" si="5"/>
        <v>1617.72</v>
      </c>
      <c r="Q63" s="237">
        <f t="shared" si="6"/>
        <v>2.13</v>
      </c>
      <c r="S63" s="194"/>
    </row>
    <row r="64" spans="2:19" s="121" customFormat="1" ht="16.5" customHeight="1" x14ac:dyDescent="0.2">
      <c r="B64" s="120"/>
      <c r="C64" s="73" t="s">
        <v>239</v>
      </c>
      <c r="D64" s="73" t="s">
        <v>209</v>
      </c>
      <c r="E64" s="74" t="s">
        <v>368</v>
      </c>
      <c r="F64" s="75" t="s">
        <v>369</v>
      </c>
      <c r="G64" s="76" t="s">
        <v>99</v>
      </c>
      <c r="H64" s="77">
        <v>2</v>
      </c>
      <c r="I64" s="78">
        <v>1530.92</v>
      </c>
      <c r="J64" s="77">
        <v>3061.8</v>
      </c>
      <c r="K64" s="68">
        <v>0</v>
      </c>
      <c r="L64" s="69">
        <f t="shared" si="1"/>
        <v>1530.92</v>
      </c>
      <c r="M64" s="273">
        <f t="shared" si="2"/>
        <v>0</v>
      </c>
      <c r="N64" s="71">
        <f t="shared" si="3"/>
        <v>2</v>
      </c>
      <c r="O64" s="72">
        <f t="shared" si="4"/>
        <v>1530.92</v>
      </c>
      <c r="P64" s="274">
        <f t="shared" si="5"/>
        <v>3061.84</v>
      </c>
      <c r="Q64" s="237">
        <f t="shared" si="6"/>
        <v>2.13</v>
      </c>
      <c r="S64" s="194"/>
    </row>
    <row r="65" spans="2:19" s="121" customFormat="1" ht="16.5" customHeight="1" x14ac:dyDescent="0.2">
      <c r="B65" s="120"/>
      <c r="C65" s="56" t="s">
        <v>242</v>
      </c>
      <c r="D65" s="56" t="s">
        <v>96</v>
      </c>
      <c r="E65" s="57" t="s">
        <v>371</v>
      </c>
      <c r="F65" s="58" t="s">
        <v>372</v>
      </c>
      <c r="G65" s="59" t="s">
        <v>99</v>
      </c>
      <c r="H65" s="60">
        <v>2</v>
      </c>
      <c r="I65" s="61">
        <v>3234.12</v>
      </c>
      <c r="J65" s="60">
        <v>6468.2</v>
      </c>
      <c r="K65" s="68">
        <v>0</v>
      </c>
      <c r="L65" s="69">
        <f t="shared" si="1"/>
        <v>3234.12</v>
      </c>
      <c r="M65" s="273">
        <f t="shared" si="2"/>
        <v>0</v>
      </c>
      <c r="N65" s="71">
        <f t="shared" si="3"/>
        <v>2</v>
      </c>
      <c r="O65" s="72">
        <f t="shared" si="4"/>
        <v>3234.12</v>
      </c>
      <c r="P65" s="274">
        <f t="shared" si="5"/>
        <v>6468.24</v>
      </c>
      <c r="Q65" s="237">
        <f t="shared" si="6"/>
        <v>2.13</v>
      </c>
      <c r="S65" s="194"/>
    </row>
    <row r="66" spans="2:19" s="121" customFormat="1" ht="16.5" customHeight="1" x14ac:dyDescent="0.2">
      <c r="B66" s="120"/>
      <c r="C66" s="73" t="s">
        <v>245</v>
      </c>
      <c r="D66" s="73" t="s">
        <v>209</v>
      </c>
      <c r="E66" s="74" t="s">
        <v>374</v>
      </c>
      <c r="F66" s="75" t="s">
        <v>375</v>
      </c>
      <c r="G66" s="76" t="s">
        <v>99</v>
      </c>
      <c r="H66" s="77">
        <v>2</v>
      </c>
      <c r="I66" s="78">
        <v>14588.41</v>
      </c>
      <c r="J66" s="77">
        <v>29176.799999999999</v>
      </c>
      <c r="K66" s="68">
        <v>0</v>
      </c>
      <c r="L66" s="69">
        <f t="shared" si="1"/>
        <v>14588.41</v>
      </c>
      <c r="M66" s="273">
        <f t="shared" si="2"/>
        <v>0</v>
      </c>
      <c r="N66" s="71">
        <f t="shared" si="3"/>
        <v>2</v>
      </c>
      <c r="O66" s="72">
        <f t="shared" si="4"/>
        <v>14588.41</v>
      </c>
      <c r="P66" s="274">
        <f t="shared" si="5"/>
        <v>29176.82</v>
      </c>
      <c r="Q66" s="237">
        <f t="shared" si="6"/>
        <v>2.13</v>
      </c>
      <c r="S66" s="194"/>
    </row>
    <row r="67" spans="2:19" s="121" customFormat="1" ht="16.5" customHeight="1" x14ac:dyDescent="0.2">
      <c r="B67" s="120"/>
      <c r="C67" s="56" t="s">
        <v>248</v>
      </c>
      <c r="D67" s="56" t="s">
        <v>96</v>
      </c>
      <c r="E67" s="57" t="s">
        <v>377</v>
      </c>
      <c r="F67" s="58" t="s">
        <v>378</v>
      </c>
      <c r="G67" s="59" t="s">
        <v>99</v>
      </c>
      <c r="H67" s="60">
        <v>2</v>
      </c>
      <c r="I67" s="61">
        <v>485.32</v>
      </c>
      <c r="J67" s="60">
        <v>970.6</v>
      </c>
      <c r="K67" s="68">
        <v>0</v>
      </c>
      <c r="L67" s="69">
        <f t="shared" si="1"/>
        <v>485.32</v>
      </c>
      <c r="M67" s="273">
        <f t="shared" si="2"/>
        <v>0</v>
      </c>
      <c r="N67" s="71">
        <f t="shared" si="3"/>
        <v>2</v>
      </c>
      <c r="O67" s="72">
        <f t="shared" si="4"/>
        <v>485.32</v>
      </c>
      <c r="P67" s="274">
        <f t="shared" si="5"/>
        <v>970.64</v>
      </c>
      <c r="Q67" s="237">
        <f t="shared" si="6"/>
        <v>2.13</v>
      </c>
      <c r="S67" s="194"/>
    </row>
    <row r="68" spans="2:19" s="121" customFormat="1" ht="16.5" customHeight="1" x14ac:dyDescent="0.2">
      <c r="B68" s="120"/>
      <c r="C68" s="73" t="s">
        <v>251</v>
      </c>
      <c r="D68" s="73" t="s">
        <v>209</v>
      </c>
      <c r="E68" s="74" t="s">
        <v>380</v>
      </c>
      <c r="F68" s="75" t="s">
        <v>381</v>
      </c>
      <c r="G68" s="76" t="s">
        <v>99</v>
      </c>
      <c r="H68" s="77">
        <v>2</v>
      </c>
      <c r="I68" s="78">
        <v>6510.34</v>
      </c>
      <c r="J68" s="77">
        <v>13020.7</v>
      </c>
      <c r="K68" s="68">
        <v>0</v>
      </c>
      <c r="L68" s="69">
        <f t="shared" si="1"/>
        <v>6510.34</v>
      </c>
      <c r="M68" s="273">
        <f t="shared" si="2"/>
        <v>0</v>
      </c>
      <c r="N68" s="71">
        <f t="shared" si="3"/>
        <v>2</v>
      </c>
      <c r="O68" s="72">
        <f t="shared" si="4"/>
        <v>6510.34</v>
      </c>
      <c r="P68" s="274">
        <f t="shared" si="5"/>
        <v>13020.68</v>
      </c>
      <c r="Q68" s="237">
        <f t="shared" si="6"/>
        <v>2.13</v>
      </c>
      <c r="S68" s="194"/>
    </row>
    <row r="69" spans="2:19" s="121" customFormat="1" ht="16.5" customHeight="1" x14ac:dyDescent="0.2">
      <c r="B69" s="120"/>
      <c r="C69" s="56" t="s">
        <v>254</v>
      </c>
      <c r="D69" s="56" t="s">
        <v>96</v>
      </c>
      <c r="E69" s="57" t="s">
        <v>383</v>
      </c>
      <c r="F69" s="58" t="s">
        <v>384</v>
      </c>
      <c r="G69" s="59" t="s">
        <v>133</v>
      </c>
      <c r="H69" s="60">
        <v>37.58</v>
      </c>
      <c r="I69" s="61">
        <v>9.2100000000000009</v>
      </c>
      <c r="J69" s="60">
        <v>346.1</v>
      </c>
      <c r="K69" s="68">
        <f t="shared" ref="K69" si="9">ROUND(39.4/40*Q69-Q69,2)</f>
        <v>-0.6</v>
      </c>
      <c r="L69" s="69">
        <f t="shared" si="1"/>
        <v>9.2100000000000009</v>
      </c>
      <c r="M69" s="273">
        <f t="shared" si="2"/>
        <v>-5.5260000000000007</v>
      </c>
      <c r="N69" s="71">
        <f t="shared" si="3"/>
        <v>36.979999999999997</v>
      </c>
      <c r="O69" s="72">
        <f t="shared" si="4"/>
        <v>9.2100000000000009</v>
      </c>
      <c r="P69" s="274">
        <f t="shared" si="5"/>
        <v>340.58580000000001</v>
      </c>
      <c r="Q69" s="237">
        <f t="shared" si="6"/>
        <v>40</v>
      </c>
      <c r="S69" s="194"/>
    </row>
    <row r="70" spans="2:19" s="170" customFormat="1" ht="22.9" customHeight="1" x14ac:dyDescent="0.2">
      <c r="B70" s="165"/>
      <c r="C70" s="252"/>
      <c r="D70" s="253" t="s">
        <v>4</v>
      </c>
      <c r="E70" s="254" t="s">
        <v>398</v>
      </c>
      <c r="F70" s="254" t="s">
        <v>399</v>
      </c>
      <c r="G70" s="252"/>
      <c r="H70" s="252"/>
      <c r="I70" s="255"/>
      <c r="J70" s="256">
        <f>+SUBTOTAL(9,J71:J72)</f>
        <v>10106.200000000001</v>
      </c>
      <c r="K70" s="261"/>
      <c r="L70" s="262"/>
      <c r="M70" s="279">
        <f>M71+M72</f>
        <v>-162.08099999999999</v>
      </c>
      <c r="N70" s="280"/>
      <c r="O70" s="262"/>
      <c r="P70" s="279">
        <f>P71+P72</f>
        <v>9944.1193000000021</v>
      </c>
      <c r="Q70" s="237"/>
      <c r="R70" s="121"/>
      <c r="S70" s="194"/>
    </row>
    <row r="71" spans="2:19" s="121" customFormat="1" ht="16.5" customHeight="1" x14ac:dyDescent="0.2">
      <c r="B71" s="120"/>
      <c r="C71" s="56" t="s">
        <v>258</v>
      </c>
      <c r="D71" s="56" t="s">
        <v>96</v>
      </c>
      <c r="E71" s="57" t="s">
        <v>401</v>
      </c>
      <c r="F71" s="58" t="s">
        <v>402</v>
      </c>
      <c r="G71" s="59" t="s">
        <v>201</v>
      </c>
      <c r="H71" s="60">
        <v>43.03</v>
      </c>
      <c r="I71" s="61">
        <v>80.23</v>
      </c>
      <c r="J71" s="60">
        <v>3452.3</v>
      </c>
      <c r="K71" s="68">
        <f t="shared" ref="K71:K72" si="10">ROUND(39.4/40*Q71-Q71,2)</f>
        <v>-0.69</v>
      </c>
      <c r="L71" s="69">
        <f t="shared" si="1"/>
        <v>80.23</v>
      </c>
      <c r="M71" s="273">
        <f t="shared" si="2"/>
        <v>-55.358699999999999</v>
      </c>
      <c r="N71" s="71">
        <f t="shared" si="3"/>
        <v>42.34</v>
      </c>
      <c r="O71" s="72">
        <f t="shared" si="4"/>
        <v>80.23</v>
      </c>
      <c r="P71" s="274">
        <f t="shared" si="5"/>
        <v>3396.9382000000005</v>
      </c>
      <c r="Q71" s="237">
        <f t="shared" si="6"/>
        <v>45.8</v>
      </c>
      <c r="S71" s="194"/>
    </row>
    <row r="72" spans="2:19" s="121" customFormat="1" ht="16.5" customHeight="1" x14ac:dyDescent="0.2">
      <c r="B72" s="120"/>
      <c r="C72" s="56" t="s">
        <v>261</v>
      </c>
      <c r="D72" s="56" t="s">
        <v>96</v>
      </c>
      <c r="E72" s="57" t="s">
        <v>410</v>
      </c>
      <c r="F72" s="58" t="s">
        <v>411</v>
      </c>
      <c r="G72" s="59" t="s">
        <v>201</v>
      </c>
      <c r="H72" s="60">
        <v>43.02</v>
      </c>
      <c r="I72" s="61">
        <v>154.66999999999999</v>
      </c>
      <c r="J72" s="60">
        <v>6653.9</v>
      </c>
      <c r="K72" s="68">
        <f t="shared" si="10"/>
        <v>-0.69</v>
      </c>
      <c r="L72" s="69">
        <f t="shared" si="1"/>
        <v>154.66999999999999</v>
      </c>
      <c r="M72" s="273">
        <f t="shared" si="2"/>
        <v>-106.72229999999999</v>
      </c>
      <c r="N72" s="71">
        <f t="shared" si="3"/>
        <v>42.330000000000005</v>
      </c>
      <c r="O72" s="72">
        <f t="shared" si="4"/>
        <v>154.66999999999999</v>
      </c>
      <c r="P72" s="274">
        <f t="shared" si="5"/>
        <v>6547.1811000000007</v>
      </c>
      <c r="Q72" s="237">
        <f t="shared" si="6"/>
        <v>45.79</v>
      </c>
      <c r="S72" s="194"/>
    </row>
    <row r="73" spans="2:19" s="170" customFormat="1" ht="22.9" customHeight="1" x14ac:dyDescent="0.2">
      <c r="B73" s="165"/>
      <c r="C73" s="252"/>
      <c r="D73" s="253" t="s">
        <v>4</v>
      </c>
      <c r="E73" s="254" t="s">
        <v>412</v>
      </c>
      <c r="F73" s="254" t="s">
        <v>413</v>
      </c>
      <c r="G73" s="252"/>
      <c r="H73" s="252"/>
      <c r="I73" s="255"/>
      <c r="J73" s="256">
        <f>+SUBTOTAL(9,J74)</f>
        <v>11617.1</v>
      </c>
      <c r="K73" s="261"/>
      <c r="L73" s="262"/>
      <c r="M73" s="279">
        <f>M74</f>
        <v>-185.36040000000003</v>
      </c>
      <c r="N73" s="280"/>
      <c r="O73" s="262"/>
      <c r="P73" s="279">
        <f>P74</f>
        <v>11431.7022</v>
      </c>
      <c r="Q73" s="237"/>
      <c r="R73" s="121"/>
      <c r="S73" s="194"/>
    </row>
    <row r="74" spans="2:19" s="121" customFormat="1" ht="16.5" customHeight="1" x14ac:dyDescent="0.2">
      <c r="B74" s="120"/>
      <c r="C74" s="56" t="s">
        <v>264</v>
      </c>
      <c r="D74" s="56" t="s">
        <v>96</v>
      </c>
      <c r="E74" s="57" t="s">
        <v>415</v>
      </c>
      <c r="F74" s="58" t="s">
        <v>416</v>
      </c>
      <c r="G74" s="59" t="s">
        <v>201</v>
      </c>
      <c r="H74" s="60">
        <v>101.53</v>
      </c>
      <c r="I74" s="61">
        <v>114.42</v>
      </c>
      <c r="J74" s="60">
        <v>11617.1</v>
      </c>
      <c r="K74" s="68">
        <f t="shared" ref="K74" si="11">ROUND(39.4/40*Q74-Q74,2)</f>
        <v>-1.62</v>
      </c>
      <c r="L74" s="69">
        <f t="shared" si="1"/>
        <v>114.42</v>
      </c>
      <c r="M74" s="273">
        <f t="shared" si="2"/>
        <v>-185.36040000000003</v>
      </c>
      <c r="N74" s="71">
        <f t="shared" si="3"/>
        <v>99.91</v>
      </c>
      <c r="O74" s="72">
        <f t="shared" si="4"/>
        <v>114.42</v>
      </c>
      <c r="P74" s="274">
        <f t="shared" si="5"/>
        <v>11431.7022</v>
      </c>
      <c r="Q74" s="237">
        <f t="shared" si="6"/>
        <v>108.07</v>
      </c>
      <c r="S74" s="194"/>
    </row>
    <row r="75" spans="2:19" s="121" customFormat="1" ht="6.95" customHeight="1" x14ac:dyDescent="0.2">
      <c r="B75" s="120"/>
      <c r="C75" s="120"/>
      <c r="D75" s="120"/>
      <c r="E75" s="120"/>
      <c r="F75" s="120"/>
      <c r="G75" s="120"/>
      <c r="H75" s="120"/>
      <c r="I75" s="153"/>
      <c r="J75" s="120"/>
    </row>
    <row r="76" spans="2:19" ht="18" customHeight="1" x14ac:dyDescent="0.2">
      <c r="D76" s="42"/>
      <c r="E76" s="43" t="s">
        <v>877</v>
      </c>
      <c r="F76" s="44"/>
      <c r="G76" s="44"/>
      <c r="H76" s="45"/>
      <c r="I76" s="44"/>
      <c r="J76" s="46">
        <f>ROUND(SUBTOTAL(9,J12:J74),2)</f>
        <v>350871.1</v>
      </c>
      <c r="K76" s="49"/>
      <c r="L76" s="46"/>
      <c r="M76" s="281">
        <f>M73+M70+M51+M45+M42+M39+M14</f>
        <v>-4095.5762999999997</v>
      </c>
      <c r="N76" s="49"/>
      <c r="O76" s="46"/>
      <c r="P76" s="281">
        <f>P73+P70+P51+P45+P42+P39+P14</f>
        <v>346775.38620000007</v>
      </c>
    </row>
    <row r="77" spans="2:19" ht="12.75" x14ac:dyDescent="0.2">
      <c r="H77" s="50"/>
      <c r="I77" s="8"/>
      <c r="J77" s="9"/>
    </row>
    <row r="78" spans="2:19" ht="14.25" x14ac:dyDescent="0.2">
      <c r="E78" s="6" t="s">
        <v>849</v>
      </c>
      <c r="F78" s="6"/>
      <c r="G78" s="320" t="s">
        <v>1224</v>
      </c>
      <c r="H78" s="50"/>
      <c r="I78" s="8"/>
      <c r="J78" s="6"/>
      <c r="K78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D9:H10" name="Oblast1_2_1"/>
  </protectedRanges>
  <autoFilter ref="C10:P74" xr:uid="{00000000-0009-0000-0000-000002000000}"/>
  <mergeCells count="2">
    <mergeCell ref="N9:P9"/>
    <mergeCell ref="K9:L9"/>
  </mergeCells>
  <pageMargins left="0.39370078740157483" right="0.39370078740157483" top="0.39370078740157483" bottom="0.39370078740157483" header="0" footer="0"/>
  <pageSetup paperSize="9" scale="60" fitToHeight="0" orientation="landscape" r:id="rId1"/>
  <headerFooter>
    <oddFooter>&amp;CStrana &amp;P z &amp;N</oddFooter>
  </headerFooter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B1:R91"/>
  <sheetViews>
    <sheetView showGridLines="0" view="pageBreakPreview" topLeftCell="A44" zoomScale="60" zoomScaleNormal="90" workbookViewId="0">
      <selection activeCell="M74" sqref="M74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9.33203125" style="8"/>
    <col min="12" max="12" width="18.6640625" style="8" customWidth="1"/>
    <col min="13" max="13" width="13.83203125" style="8" bestFit="1" customWidth="1"/>
    <col min="14" max="14" width="9.33203125" style="8"/>
    <col min="15" max="15" width="16.6640625" style="8" bestFit="1" customWidth="1"/>
    <col min="16" max="16" width="19.5" style="8" bestFit="1" customWidth="1"/>
    <col min="17" max="17" width="13.5" style="8" hidden="1" customWidth="1"/>
    <col min="18" max="18" width="18.83203125" style="8" customWidth="1"/>
    <col min="19" max="16384" width="9.33203125" style="8"/>
  </cols>
  <sheetData>
    <row r="1" spans="2:18" ht="15" x14ac:dyDescent="0.2">
      <c r="F1" s="11"/>
      <c r="G1" s="89"/>
      <c r="H1" s="88"/>
      <c r="I1" s="8"/>
      <c r="J1" s="9"/>
    </row>
    <row r="2" spans="2:18" s="88" customFormat="1" ht="15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18" s="88" customFormat="1" ht="15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18" s="13" customFormat="1" ht="15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18" s="13" customFormat="1" ht="15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18" s="13" customFormat="1" ht="15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18" s="13" customFormat="1" ht="15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18" s="14" customFormat="1" ht="12.75" x14ac:dyDescent="0.2">
      <c r="D8" s="146"/>
      <c r="F8" s="11"/>
      <c r="G8" s="105"/>
      <c r="H8" s="145"/>
      <c r="K8" s="149" t="s">
        <v>851</v>
      </c>
      <c r="L8" s="180" t="str">
        <f>+C12</f>
        <v>C4 - Stoka C4</v>
      </c>
      <c r="M8" s="180"/>
      <c r="O8" s="151"/>
    </row>
    <row r="9" spans="2:18" s="15" customFormat="1" ht="12.75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</row>
    <row r="10" spans="2:18" s="15" customFormat="1" ht="24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189" t="s">
        <v>1176</v>
      </c>
    </row>
    <row r="11" spans="2:18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18" s="121" customFormat="1" ht="15.75" x14ac:dyDescent="0.25">
      <c r="B12" s="120"/>
      <c r="C12" s="152" t="s">
        <v>501</v>
      </c>
      <c r="D12" s="120"/>
      <c r="E12" s="120"/>
      <c r="F12" s="120"/>
      <c r="G12" s="120"/>
      <c r="H12" s="120"/>
      <c r="I12" s="153"/>
      <c r="J12" s="154">
        <f>+SUBTOTAL(9,J13:J87)</f>
        <v>544851.5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18" s="170" customFormat="1" ht="15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+SUBTOTAL(9,J14:J87)</f>
        <v>544851.5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  <c r="Q13" s="345" t="s">
        <v>1185</v>
      </c>
    </row>
    <row r="14" spans="2:18" s="170" customFormat="1" ht="33.75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+SUBTOTAL(9,J15:J34)</f>
        <v>201998.89999999997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SUM(M15:M34)</f>
        <v>-774.16679999999997</v>
      </c>
      <c r="N14" s="278" t="str">
        <f>IF(ISBLANK(H14),"",H14-K14)</f>
        <v/>
      </c>
      <c r="O14" s="272" t="str">
        <f>IF(ISBLANK(H14),"",J14-L14)</f>
        <v/>
      </c>
      <c r="P14" s="272">
        <f>SUM(P15:P34)</f>
        <v>201224.80899999995</v>
      </c>
      <c r="Q14" s="345"/>
      <c r="R14" s="218" t="s">
        <v>1216</v>
      </c>
    </row>
    <row r="15" spans="2:18" s="121" customFormat="1" ht="12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57.2</v>
      </c>
      <c r="I15" s="61">
        <v>40.770000000000003</v>
      </c>
      <c r="J15" s="60">
        <v>2332</v>
      </c>
      <c r="K15" s="68">
        <f>ROUND(51.8/52*R15-R15,2)</f>
        <v>-0.24</v>
      </c>
      <c r="L15" s="69">
        <f>I15</f>
        <v>40.770000000000003</v>
      </c>
      <c r="M15" s="273">
        <f>K15*L15</f>
        <v>-9.7848000000000006</v>
      </c>
      <c r="N15" s="71">
        <f>H15+K15</f>
        <v>56.96</v>
      </c>
      <c r="O15" s="72">
        <f>I15</f>
        <v>40.770000000000003</v>
      </c>
      <c r="P15" s="274">
        <f>N15*O15</f>
        <v>2322.2592000000004</v>
      </c>
      <c r="R15" s="194">
        <f>ROUND(52/48.34*H15,2)</f>
        <v>61.53</v>
      </c>
    </row>
    <row r="16" spans="2:18" s="121" customFormat="1" ht="12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109.2</v>
      </c>
      <c r="I16" s="61">
        <v>55.24</v>
      </c>
      <c r="J16" s="60">
        <v>6032.2</v>
      </c>
      <c r="K16" s="68">
        <v>0</v>
      </c>
      <c r="L16" s="69">
        <f t="shared" ref="L16:L79" si="0">I16</f>
        <v>55.24</v>
      </c>
      <c r="M16" s="273">
        <f t="shared" ref="M16:M79" si="1">K16*L16</f>
        <v>0</v>
      </c>
      <c r="N16" s="71">
        <f t="shared" ref="N16:N79" si="2">H16+K16</f>
        <v>109.2</v>
      </c>
      <c r="O16" s="72">
        <f t="shared" ref="O16:O79" si="3">I16</f>
        <v>55.24</v>
      </c>
      <c r="P16" s="274">
        <f t="shared" ref="P16:P79" si="4">N16*O16</f>
        <v>6032.2080000000005</v>
      </c>
      <c r="R16" s="194">
        <f t="shared" ref="R16:R79" si="5">ROUND(52/48.34*H16,2)</f>
        <v>117.47</v>
      </c>
    </row>
    <row r="17" spans="2:18" s="121" customFormat="1" ht="12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57.2</v>
      </c>
      <c r="I17" s="61">
        <v>151.25</v>
      </c>
      <c r="J17" s="60">
        <v>8651.5</v>
      </c>
      <c r="K17" s="68">
        <v>0</v>
      </c>
      <c r="L17" s="69">
        <f t="shared" si="0"/>
        <v>151.25</v>
      </c>
      <c r="M17" s="273">
        <f t="shared" si="1"/>
        <v>0</v>
      </c>
      <c r="N17" s="71">
        <f t="shared" si="2"/>
        <v>57.2</v>
      </c>
      <c r="O17" s="72">
        <f t="shared" si="3"/>
        <v>151.25</v>
      </c>
      <c r="P17" s="274">
        <f t="shared" si="4"/>
        <v>8651.5</v>
      </c>
      <c r="R17" s="194">
        <f t="shared" si="5"/>
        <v>61.53</v>
      </c>
    </row>
    <row r="18" spans="2:18" s="121" customFormat="1" ht="12" x14ac:dyDescent="0.2">
      <c r="B18" s="120"/>
      <c r="C18" s="56" t="s">
        <v>105</v>
      </c>
      <c r="D18" s="56" t="s">
        <v>96</v>
      </c>
      <c r="E18" s="57" t="s">
        <v>142</v>
      </c>
      <c r="F18" s="58" t="s">
        <v>143</v>
      </c>
      <c r="G18" s="59" t="s">
        <v>133</v>
      </c>
      <c r="H18" s="60">
        <v>5.5</v>
      </c>
      <c r="I18" s="61">
        <v>170.98</v>
      </c>
      <c r="J18" s="60">
        <v>940.4</v>
      </c>
      <c r="K18" s="68">
        <f t="shared" ref="K18:K37" si="6">ROUND(51.8/52*R18-R18,2)</f>
        <v>-0.02</v>
      </c>
      <c r="L18" s="69">
        <f t="shared" si="0"/>
        <v>170.98</v>
      </c>
      <c r="M18" s="273">
        <f t="shared" si="1"/>
        <v>-3.4196</v>
      </c>
      <c r="N18" s="71">
        <f t="shared" si="2"/>
        <v>5.48</v>
      </c>
      <c r="O18" s="72">
        <f t="shared" si="3"/>
        <v>170.98</v>
      </c>
      <c r="P18" s="274">
        <f t="shared" si="4"/>
        <v>936.97040000000004</v>
      </c>
      <c r="R18" s="194">
        <f t="shared" si="5"/>
        <v>5.92</v>
      </c>
    </row>
    <row r="19" spans="2:18" s="121" customFormat="1" ht="12" x14ac:dyDescent="0.2">
      <c r="B19" s="120"/>
      <c r="C19" s="56" t="s">
        <v>109</v>
      </c>
      <c r="D19" s="56" t="s">
        <v>96</v>
      </c>
      <c r="E19" s="57" t="s">
        <v>145</v>
      </c>
      <c r="F19" s="58" t="s">
        <v>146</v>
      </c>
      <c r="G19" s="59" t="s">
        <v>133</v>
      </c>
      <c r="H19" s="60">
        <v>4.4000000000000004</v>
      </c>
      <c r="I19" s="61">
        <v>147.30000000000001</v>
      </c>
      <c r="J19" s="60">
        <v>648.1</v>
      </c>
      <c r="K19" s="68">
        <f t="shared" si="6"/>
        <v>-0.02</v>
      </c>
      <c r="L19" s="69">
        <f t="shared" si="0"/>
        <v>147.30000000000001</v>
      </c>
      <c r="M19" s="273">
        <f t="shared" si="1"/>
        <v>-2.9460000000000002</v>
      </c>
      <c r="N19" s="71">
        <f t="shared" si="2"/>
        <v>4.3800000000000008</v>
      </c>
      <c r="O19" s="72">
        <f t="shared" si="3"/>
        <v>147.30000000000001</v>
      </c>
      <c r="P19" s="274">
        <f t="shared" si="4"/>
        <v>645.17400000000021</v>
      </c>
      <c r="R19" s="194">
        <f t="shared" si="5"/>
        <v>4.7300000000000004</v>
      </c>
    </row>
    <row r="20" spans="2:18" s="121" customFormat="1" ht="12" x14ac:dyDescent="0.2">
      <c r="B20" s="120"/>
      <c r="C20" s="56" t="s">
        <v>112</v>
      </c>
      <c r="D20" s="56" t="s">
        <v>96</v>
      </c>
      <c r="E20" s="57" t="s">
        <v>155</v>
      </c>
      <c r="F20" s="58" t="s">
        <v>156</v>
      </c>
      <c r="G20" s="59" t="s">
        <v>150</v>
      </c>
      <c r="H20" s="60">
        <v>31.19</v>
      </c>
      <c r="I20" s="61">
        <v>257.77999999999997</v>
      </c>
      <c r="J20" s="60">
        <v>8040.2</v>
      </c>
      <c r="K20" s="68">
        <f t="shared" si="6"/>
        <v>-0.13</v>
      </c>
      <c r="L20" s="69">
        <f t="shared" si="0"/>
        <v>257.77999999999997</v>
      </c>
      <c r="M20" s="273">
        <f t="shared" si="1"/>
        <v>-33.511399999999995</v>
      </c>
      <c r="N20" s="71">
        <f t="shared" si="2"/>
        <v>31.060000000000002</v>
      </c>
      <c r="O20" s="72">
        <f t="shared" si="3"/>
        <v>257.77999999999997</v>
      </c>
      <c r="P20" s="274">
        <f t="shared" si="4"/>
        <v>8006.6467999999995</v>
      </c>
      <c r="R20" s="194">
        <f t="shared" si="5"/>
        <v>33.549999999999997</v>
      </c>
    </row>
    <row r="21" spans="2:18" s="121" customFormat="1" ht="12" x14ac:dyDescent="0.2">
      <c r="B21" s="120"/>
      <c r="C21" s="56" t="s">
        <v>115</v>
      </c>
      <c r="D21" s="56" t="s">
        <v>96</v>
      </c>
      <c r="E21" s="57" t="s">
        <v>157</v>
      </c>
      <c r="F21" s="58" t="s">
        <v>158</v>
      </c>
      <c r="G21" s="59" t="s">
        <v>150</v>
      </c>
      <c r="H21" s="60">
        <v>68.180000000000007</v>
      </c>
      <c r="I21" s="61">
        <v>257.77999999999997</v>
      </c>
      <c r="J21" s="60">
        <v>17575.400000000001</v>
      </c>
      <c r="K21" s="68">
        <f t="shared" si="6"/>
        <v>-0.28000000000000003</v>
      </c>
      <c r="L21" s="69">
        <f t="shared" si="0"/>
        <v>257.77999999999997</v>
      </c>
      <c r="M21" s="273">
        <f t="shared" si="1"/>
        <v>-72.178399999999996</v>
      </c>
      <c r="N21" s="71">
        <f t="shared" si="2"/>
        <v>67.900000000000006</v>
      </c>
      <c r="O21" s="72">
        <f t="shared" si="3"/>
        <v>257.77999999999997</v>
      </c>
      <c r="P21" s="274">
        <f t="shared" si="4"/>
        <v>17503.261999999999</v>
      </c>
      <c r="R21" s="194">
        <f t="shared" si="5"/>
        <v>73.34</v>
      </c>
    </row>
    <row r="22" spans="2:18" s="121" customFormat="1" ht="12" x14ac:dyDescent="0.2">
      <c r="B22" s="120"/>
      <c r="C22" s="56" t="s">
        <v>118</v>
      </c>
      <c r="D22" s="56" t="s">
        <v>96</v>
      </c>
      <c r="E22" s="57" t="s">
        <v>160</v>
      </c>
      <c r="F22" s="58" t="s">
        <v>161</v>
      </c>
      <c r="G22" s="59" t="s">
        <v>150</v>
      </c>
      <c r="H22" s="60">
        <v>20.45</v>
      </c>
      <c r="I22" s="61">
        <v>13.15</v>
      </c>
      <c r="J22" s="60">
        <v>268.89999999999998</v>
      </c>
      <c r="K22" s="68">
        <f t="shared" si="6"/>
        <v>-0.08</v>
      </c>
      <c r="L22" s="69">
        <f t="shared" si="0"/>
        <v>13.15</v>
      </c>
      <c r="M22" s="273">
        <f t="shared" si="1"/>
        <v>-1.052</v>
      </c>
      <c r="N22" s="71">
        <f t="shared" si="2"/>
        <v>20.37</v>
      </c>
      <c r="O22" s="72">
        <f t="shared" si="3"/>
        <v>13.15</v>
      </c>
      <c r="P22" s="274">
        <f t="shared" si="4"/>
        <v>267.8655</v>
      </c>
      <c r="R22" s="194">
        <f t="shared" si="5"/>
        <v>22</v>
      </c>
    </row>
    <row r="23" spans="2:18" s="121" customFormat="1" ht="12" x14ac:dyDescent="0.2">
      <c r="B23" s="120"/>
      <c r="C23" s="56" t="s">
        <v>121</v>
      </c>
      <c r="D23" s="56" t="s">
        <v>96</v>
      </c>
      <c r="E23" s="57" t="s">
        <v>163</v>
      </c>
      <c r="F23" s="58" t="s">
        <v>164</v>
      </c>
      <c r="G23" s="59" t="s">
        <v>150</v>
      </c>
      <c r="H23" s="60">
        <v>60.71</v>
      </c>
      <c r="I23" s="61">
        <v>315.64999999999998</v>
      </c>
      <c r="J23" s="60">
        <v>19163.099999999999</v>
      </c>
      <c r="K23" s="68">
        <f t="shared" si="6"/>
        <v>-0.25</v>
      </c>
      <c r="L23" s="69">
        <f t="shared" si="0"/>
        <v>315.64999999999998</v>
      </c>
      <c r="M23" s="273">
        <f t="shared" si="1"/>
        <v>-78.912499999999994</v>
      </c>
      <c r="N23" s="71">
        <f t="shared" si="2"/>
        <v>60.46</v>
      </c>
      <c r="O23" s="72">
        <f t="shared" si="3"/>
        <v>315.64999999999998</v>
      </c>
      <c r="P23" s="274">
        <f t="shared" si="4"/>
        <v>19084.199000000001</v>
      </c>
      <c r="R23" s="194">
        <f t="shared" si="5"/>
        <v>65.31</v>
      </c>
    </row>
    <row r="24" spans="2:18" s="121" customFormat="1" ht="12" x14ac:dyDescent="0.2">
      <c r="B24" s="120"/>
      <c r="C24" s="56" t="s">
        <v>124</v>
      </c>
      <c r="D24" s="56" t="s">
        <v>96</v>
      </c>
      <c r="E24" s="57" t="s">
        <v>166</v>
      </c>
      <c r="F24" s="58" t="s">
        <v>167</v>
      </c>
      <c r="G24" s="59" t="s">
        <v>150</v>
      </c>
      <c r="H24" s="60">
        <v>18.21</v>
      </c>
      <c r="I24" s="61">
        <v>15.78</v>
      </c>
      <c r="J24" s="60">
        <v>287.39999999999998</v>
      </c>
      <c r="K24" s="68">
        <f t="shared" si="6"/>
        <v>-0.08</v>
      </c>
      <c r="L24" s="69">
        <f t="shared" si="0"/>
        <v>15.78</v>
      </c>
      <c r="M24" s="273">
        <f t="shared" si="1"/>
        <v>-1.2624</v>
      </c>
      <c r="N24" s="71">
        <f t="shared" si="2"/>
        <v>18.130000000000003</v>
      </c>
      <c r="O24" s="72">
        <f t="shared" si="3"/>
        <v>15.78</v>
      </c>
      <c r="P24" s="274">
        <f t="shared" si="4"/>
        <v>286.09140000000002</v>
      </c>
      <c r="R24" s="194">
        <f t="shared" si="5"/>
        <v>19.59</v>
      </c>
    </row>
    <row r="25" spans="2:18" s="121" customFormat="1" ht="12" x14ac:dyDescent="0.2">
      <c r="B25" s="120"/>
      <c r="C25" s="56" t="s">
        <v>127</v>
      </c>
      <c r="D25" s="56" t="s">
        <v>96</v>
      </c>
      <c r="E25" s="57" t="s">
        <v>175</v>
      </c>
      <c r="F25" s="58" t="s">
        <v>176</v>
      </c>
      <c r="G25" s="59" t="s">
        <v>108</v>
      </c>
      <c r="H25" s="60">
        <v>246.37</v>
      </c>
      <c r="I25" s="61">
        <v>99.96</v>
      </c>
      <c r="J25" s="60">
        <v>24627.1</v>
      </c>
      <c r="K25" s="68">
        <f t="shared" si="6"/>
        <v>-1.02</v>
      </c>
      <c r="L25" s="69">
        <f t="shared" si="0"/>
        <v>99.96</v>
      </c>
      <c r="M25" s="273">
        <f t="shared" si="1"/>
        <v>-101.9592</v>
      </c>
      <c r="N25" s="71">
        <f t="shared" si="2"/>
        <v>245.35</v>
      </c>
      <c r="O25" s="72">
        <f t="shared" si="3"/>
        <v>99.96</v>
      </c>
      <c r="P25" s="274">
        <f t="shared" si="4"/>
        <v>24525.185999999998</v>
      </c>
      <c r="R25" s="194">
        <f t="shared" si="5"/>
        <v>265.02</v>
      </c>
    </row>
    <row r="26" spans="2:18" s="121" customFormat="1" ht="12" x14ac:dyDescent="0.2">
      <c r="B26" s="120"/>
      <c r="C26" s="56" t="s">
        <v>130</v>
      </c>
      <c r="D26" s="56" t="s">
        <v>96</v>
      </c>
      <c r="E26" s="57" t="s">
        <v>181</v>
      </c>
      <c r="F26" s="58" t="s">
        <v>182</v>
      </c>
      <c r="G26" s="59" t="s">
        <v>108</v>
      </c>
      <c r="H26" s="60">
        <v>246.37</v>
      </c>
      <c r="I26" s="61">
        <v>149.94</v>
      </c>
      <c r="J26" s="60">
        <v>36940.699999999997</v>
      </c>
      <c r="K26" s="68">
        <f t="shared" si="6"/>
        <v>-1.02</v>
      </c>
      <c r="L26" s="69">
        <f t="shared" si="0"/>
        <v>149.94</v>
      </c>
      <c r="M26" s="273">
        <f t="shared" si="1"/>
        <v>-152.93879999999999</v>
      </c>
      <c r="N26" s="71">
        <f t="shared" si="2"/>
        <v>245.35</v>
      </c>
      <c r="O26" s="72">
        <f t="shared" si="3"/>
        <v>149.94</v>
      </c>
      <c r="P26" s="274">
        <f t="shared" si="4"/>
        <v>36787.778999999995</v>
      </c>
      <c r="R26" s="194">
        <f t="shared" si="5"/>
        <v>265.02</v>
      </c>
    </row>
    <row r="27" spans="2:18" s="121" customFormat="1" ht="12" x14ac:dyDescent="0.2">
      <c r="B27" s="120"/>
      <c r="C27" s="56" t="s">
        <v>134</v>
      </c>
      <c r="D27" s="56" t="s">
        <v>96</v>
      </c>
      <c r="E27" s="57" t="s">
        <v>187</v>
      </c>
      <c r="F27" s="58" t="s">
        <v>188</v>
      </c>
      <c r="G27" s="59" t="s">
        <v>150</v>
      </c>
      <c r="H27" s="60">
        <v>211.64</v>
      </c>
      <c r="I27" s="61">
        <v>97.71</v>
      </c>
      <c r="J27" s="60">
        <v>20679.3</v>
      </c>
      <c r="K27" s="68">
        <f t="shared" si="6"/>
        <v>-0.88</v>
      </c>
      <c r="L27" s="69">
        <f t="shared" si="0"/>
        <v>97.71</v>
      </c>
      <c r="M27" s="273">
        <f t="shared" si="1"/>
        <v>-85.984799999999993</v>
      </c>
      <c r="N27" s="71">
        <f t="shared" si="2"/>
        <v>210.76</v>
      </c>
      <c r="O27" s="72">
        <f t="shared" si="3"/>
        <v>97.71</v>
      </c>
      <c r="P27" s="274">
        <f t="shared" si="4"/>
        <v>20593.359599999996</v>
      </c>
      <c r="R27" s="194">
        <f t="shared" si="5"/>
        <v>227.66</v>
      </c>
    </row>
    <row r="28" spans="2:18" s="121" customFormat="1" ht="12" x14ac:dyDescent="0.2">
      <c r="B28" s="120"/>
      <c r="C28" s="56" t="s">
        <v>2</v>
      </c>
      <c r="D28" s="56" t="s">
        <v>96</v>
      </c>
      <c r="E28" s="57" t="s">
        <v>190</v>
      </c>
      <c r="F28" s="58" t="s">
        <v>191</v>
      </c>
      <c r="G28" s="59" t="s">
        <v>150</v>
      </c>
      <c r="H28" s="60">
        <v>46.14</v>
      </c>
      <c r="I28" s="61">
        <v>247.39</v>
      </c>
      <c r="J28" s="60">
        <v>11414.6</v>
      </c>
      <c r="K28" s="68">
        <f t="shared" si="6"/>
        <v>-0.19</v>
      </c>
      <c r="L28" s="69">
        <f t="shared" si="0"/>
        <v>247.39</v>
      </c>
      <c r="M28" s="273">
        <f t="shared" si="1"/>
        <v>-47.004100000000001</v>
      </c>
      <c r="N28" s="71">
        <f t="shared" si="2"/>
        <v>45.95</v>
      </c>
      <c r="O28" s="72">
        <f t="shared" si="3"/>
        <v>247.39</v>
      </c>
      <c r="P28" s="274">
        <f t="shared" si="4"/>
        <v>11367.5705</v>
      </c>
      <c r="R28" s="194">
        <f t="shared" si="5"/>
        <v>49.63</v>
      </c>
    </row>
    <row r="29" spans="2:18" s="121" customFormat="1" ht="12" x14ac:dyDescent="0.2">
      <c r="B29" s="120"/>
      <c r="C29" s="56" t="s">
        <v>141</v>
      </c>
      <c r="D29" s="56" t="s">
        <v>96</v>
      </c>
      <c r="E29" s="57" t="s">
        <v>193</v>
      </c>
      <c r="F29" s="58" t="s">
        <v>194</v>
      </c>
      <c r="G29" s="59" t="s">
        <v>150</v>
      </c>
      <c r="H29" s="60">
        <v>46.14</v>
      </c>
      <c r="I29" s="61">
        <v>44.72</v>
      </c>
      <c r="J29" s="60">
        <v>2063.4</v>
      </c>
      <c r="K29" s="68">
        <f t="shared" si="6"/>
        <v>-0.19</v>
      </c>
      <c r="L29" s="69">
        <f t="shared" si="0"/>
        <v>44.72</v>
      </c>
      <c r="M29" s="273">
        <f t="shared" si="1"/>
        <v>-8.4968000000000004</v>
      </c>
      <c r="N29" s="71">
        <f t="shared" si="2"/>
        <v>45.95</v>
      </c>
      <c r="O29" s="72">
        <f t="shared" si="3"/>
        <v>44.72</v>
      </c>
      <c r="P29" s="274">
        <f t="shared" si="4"/>
        <v>2054.884</v>
      </c>
      <c r="R29" s="194">
        <f t="shared" si="5"/>
        <v>49.63</v>
      </c>
    </row>
    <row r="30" spans="2:18" s="121" customFormat="1" ht="12" x14ac:dyDescent="0.2">
      <c r="B30" s="120"/>
      <c r="C30" s="56" t="s">
        <v>144</v>
      </c>
      <c r="D30" s="56" t="s">
        <v>96</v>
      </c>
      <c r="E30" s="57" t="s">
        <v>196</v>
      </c>
      <c r="F30" s="58" t="s">
        <v>197</v>
      </c>
      <c r="G30" s="59" t="s">
        <v>150</v>
      </c>
      <c r="H30" s="60">
        <v>46.14</v>
      </c>
      <c r="I30" s="61">
        <v>11.84</v>
      </c>
      <c r="J30" s="60">
        <v>546.29999999999995</v>
      </c>
      <c r="K30" s="68">
        <f t="shared" si="6"/>
        <v>-0.19</v>
      </c>
      <c r="L30" s="69">
        <f t="shared" si="0"/>
        <v>11.84</v>
      </c>
      <c r="M30" s="273">
        <f t="shared" si="1"/>
        <v>-2.2496</v>
      </c>
      <c r="N30" s="71">
        <f t="shared" si="2"/>
        <v>45.95</v>
      </c>
      <c r="O30" s="72">
        <f t="shared" si="3"/>
        <v>11.84</v>
      </c>
      <c r="P30" s="274">
        <f t="shared" si="4"/>
        <v>544.048</v>
      </c>
      <c r="R30" s="194">
        <f t="shared" si="5"/>
        <v>49.63</v>
      </c>
    </row>
    <row r="31" spans="2:18" s="121" customFormat="1" ht="12" x14ac:dyDescent="0.2">
      <c r="B31" s="120"/>
      <c r="C31" s="56" t="s">
        <v>147</v>
      </c>
      <c r="D31" s="56" t="s">
        <v>96</v>
      </c>
      <c r="E31" s="57" t="s">
        <v>199</v>
      </c>
      <c r="F31" s="58" t="s">
        <v>200</v>
      </c>
      <c r="G31" s="59" t="s">
        <v>201</v>
      </c>
      <c r="H31" s="60">
        <v>92.28</v>
      </c>
      <c r="I31" s="61">
        <v>116</v>
      </c>
      <c r="J31" s="60">
        <v>10704.5</v>
      </c>
      <c r="K31" s="68">
        <f t="shared" si="6"/>
        <v>-0.38</v>
      </c>
      <c r="L31" s="69">
        <f t="shared" si="0"/>
        <v>116</v>
      </c>
      <c r="M31" s="273">
        <f t="shared" si="1"/>
        <v>-44.08</v>
      </c>
      <c r="N31" s="71">
        <f t="shared" si="2"/>
        <v>91.9</v>
      </c>
      <c r="O31" s="72">
        <f t="shared" si="3"/>
        <v>116</v>
      </c>
      <c r="P31" s="274">
        <f t="shared" si="4"/>
        <v>10660.400000000001</v>
      </c>
      <c r="R31" s="194">
        <f t="shared" si="5"/>
        <v>99.27</v>
      </c>
    </row>
    <row r="32" spans="2:18" s="121" customFormat="1" ht="12" x14ac:dyDescent="0.2">
      <c r="B32" s="120"/>
      <c r="C32" s="56" t="s">
        <v>151</v>
      </c>
      <c r="D32" s="56" t="s">
        <v>96</v>
      </c>
      <c r="E32" s="57" t="s">
        <v>203</v>
      </c>
      <c r="F32" s="58" t="s">
        <v>204</v>
      </c>
      <c r="G32" s="59" t="s">
        <v>150</v>
      </c>
      <c r="H32" s="60">
        <v>82.75</v>
      </c>
      <c r="I32" s="61">
        <v>143.36000000000001</v>
      </c>
      <c r="J32" s="60">
        <v>11863</v>
      </c>
      <c r="K32" s="68">
        <f t="shared" si="6"/>
        <v>-0.34</v>
      </c>
      <c r="L32" s="69">
        <f t="shared" si="0"/>
        <v>143.36000000000001</v>
      </c>
      <c r="M32" s="273">
        <f t="shared" si="1"/>
        <v>-48.742400000000011</v>
      </c>
      <c r="N32" s="71">
        <f t="shared" si="2"/>
        <v>82.41</v>
      </c>
      <c r="O32" s="72">
        <f t="shared" si="3"/>
        <v>143.36000000000001</v>
      </c>
      <c r="P32" s="274">
        <f t="shared" si="4"/>
        <v>11814.2976</v>
      </c>
      <c r="R32" s="194">
        <f t="shared" si="5"/>
        <v>89.02</v>
      </c>
    </row>
    <row r="33" spans="2:18" s="121" customFormat="1" ht="12" x14ac:dyDescent="0.2">
      <c r="B33" s="120"/>
      <c r="C33" s="56" t="s">
        <v>154</v>
      </c>
      <c r="D33" s="56" t="s">
        <v>96</v>
      </c>
      <c r="E33" s="57" t="s">
        <v>206</v>
      </c>
      <c r="F33" s="58" t="s">
        <v>207</v>
      </c>
      <c r="G33" s="59" t="s">
        <v>150</v>
      </c>
      <c r="H33" s="60">
        <v>28.96</v>
      </c>
      <c r="I33" s="61">
        <v>318.27999999999997</v>
      </c>
      <c r="J33" s="60">
        <v>9217.4</v>
      </c>
      <c r="K33" s="68">
        <f t="shared" si="6"/>
        <v>-0.12</v>
      </c>
      <c r="L33" s="69">
        <f t="shared" si="0"/>
        <v>318.27999999999997</v>
      </c>
      <c r="M33" s="273">
        <f t="shared" si="1"/>
        <v>-38.193599999999996</v>
      </c>
      <c r="N33" s="71">
        <f t="shared" si="2"/>
        <v>28.84</v>
      </c>
      <c r="O33" s="72">
        <f t="shared" si="3"/>
        <v>318.27999999999997</v>
      </c>
      <c r="P33" s="274">
        <f t="shared" si="4"/>
        <v>9179.1951999999983</v>
      </c>
      <c r="R33" s="194">
        <f t="shared" si="5"/>
        <v>31.15</v>
      </c>
    </row>
    <row r="34" spans="2:18" s="121" customFormat="1" ht="12" x14ac:dyDescent="0.2">
      <c r="B34" s="120"/>
      <c r="C34" s="73" t="s">
        <v>1</v>
      </c>
      <c r="D34" s="73" t="s">
        <v>209</v>
      </c>
      <c r="E34" s="74" t="s">
        <v>210</v>
      </c>
      <c r="F34" s="75" t="s">
        <v>211</v>
      </c>
      <c r="G34" s="76" t="s">
        <v>201</v>
      </c>
      <c r="H34" s="77">
        <v>57.92</v>
      </c>
      <c r="I34" s="78">
        <v>172.71</v>
      </c>
      <c r="J34" s="77">
        <v>10003.4</v>
      </c>
      <c r="K34" s="68">
        <f t="shared" si="6"/>
        <v>-0.24</v>
      </c>
      <c r="L34" s="69">
        <f t="shared" si="0"/>
        <v>172.71</v>
      </c>
      <c r="M34" s="273">
        <f t="shared" si="1"/>
        <v>-41.450400000000002</v>
      </c>
      <c r="N34" s="71">
        <f t="shared" si="2"/>
        <v>57.68</v>
      </c>
      <c r="O34" s="72">
        <f t="shared" si="3"/>
        <v>172.71</v>
      </c>
      <c r="P34" s="274">
        <f t="shared" si="4"/>
        <v>9961.9128000000001</v>
      </c>
      <c r="R34" s="194">
        <f t="shared" si="5"/>
        <v>62.31</v>
      </c>
    </row>
    <row r="35" spans="2:18" s="170" customFormat="1" ht="12.75" x14ac:dyDescent="0.2">
      <c r="B35" s="165"/>
      <c r="C35" s="252"/>
      <c r="D35" s="253" t="s">
        <v>4</v>
      </c>
      <c r="E35" s="254" t="s">
        <v>13</v>
      </c>
      <c r="F35" s="254" t="s">
        <v>222</v>
      </c>
      <c r="G35" s="252"/>
      <c r="H35" s="252"/>
      <c r="I35" s="255"/>
      <c r="J35" s="256">
        <f>+SUBTOTAL(9,J36:J37)</f>
        <v>1907.5</v>
      </c>
      <c r="K35" s="261"/>
      <c r="L35" s="262"/>
      <c r="M35" s="279">
        <f>SUM(M36:M37)</f>
        <v>-7.8920000000000003</v>
      </c>
      <c r="N35" s="280"/>
      <c r="O35" s="262"/>
      <c r="P35" s="279">
        <f>SUM(P36:P37)</f>
        <v>1899.6044000000002</v>
      </c>
      <c r="Q35" s="121"/>
      <c r="R35" s="194">
        <f t="shared" si="5"/>
        <v>0</v>
      </c>
    </row>
    <row r="36" spans="2:18" s="121" customFormat="1" ht="12" x14ac:dyDescent="0.2">
      <c r="B36" s="120"/>
      <c r="C36" s="56" t="s">
        <v>159</v>
      </c>
      <c r="D36" s="56" t="s">
        <v>96</v>
      </c>
      <c r="E36" s="57" t="s">
        <v>224</v>
      </c>
      <c r="F36" s="58" t="s">
        <v>225</v>
      </c>
      <c r="G36" s="59" t="s">
        <v>133</v>
      </c>
      <c r="H36" s="60">
        <v>48.34</v>
      </c>
      <c r="I36" s="61">
        <v>32.880000000000003</v>
      </c>
      <c r="J36" s="60">
        <v>1589.4</v>
      </c>
      <c r="K36" s="68">
        <f t="shared" si="6"/>
        <v>-0.2</v>
      </c>
      <c r="L36" s="69">
        <f t="shared" si="0"/>
        <v>32.880000000000003</v>
      </c>
      <c r="M36" s="273">
        <f t="shared" si="1"/>
        <v>-6.5760000000000005</v>
      </c>
      <c r="N36" s="71">
        <f t="shared" si="2"/>
        <v>48.14</v>
      </c>
      <c r="O36" s="72">
        <f t="shared" si="3"/>
        <v>32.880000000000003</v>
      </c>
      <c r="P36" s="274">
        <f t="shared" si="4"/>
        <v>1582.8432000000003</v>
      </c>
      <c r="R36" s="194">
        <f t="shared" si="5"/>
        <v>52</v>
      </c>
    </row>
    <row r="37" spans="2:18" s="121" customFormat="1" ht="12" x14ac:dyDescent="0.2">
      <c r="B37" s="120"/>
      <c r="C37" s="56" t="s">
        <v>162</v>
      </c>
      <c r="D37" s="56" t="s">
        <v>96</v>
      </c>
      <c r="E37" s="57" t="s">
        <v>227</v>
      </c>
      <c r="F37" s="58" t="s">
        <v>228</v>
      </c>
      <c r="G37" s="59" t="s">
        <v>133</v>
      </c>
      <c r="H37" s="60">
        <v>48.34</v>
      </c>
      <c r="I37" s="61">
        <v>6.58</v>
      </c>
      <c r="J37" s="60">
        <v>318.10000000000002</v>
      </c>
      <c r="K37" s="68">
        <f t="shared" si="6"/>
        <v>-0.2</v>
      </c>
      <c r="L37" s="69">
        <f t="shared" si="0"/>
        <v>6.58</v>
      </c>
      <c r="M37" s="273">
        <f t="shared" si="1"/>
        <v>-1.3160000000000001</v>
      </c>
      <c r="N37" s="71">
        <f t="shared" si="2"/>
        <v>48.14</v>
      </c>
      <c r="O37" s="72">
        <f t="shared" si="3"/>
        <v>6.58</v>
      </c>
      <c r="P37" s="274">
        <f t="shared" si="4"/>
        <v>316.76120000000003</v>
      </c>
      <c r="R37" s="194">
        <f t="shared" si="5"/>
        <v>52</v>
      </c>
    </row>
    <row r="38" spans="2:18" s="170" customFormat="1" ht="12.75" x14ac:dyDescent="0.2">
      <c r="B38" s="165"/>
      <c r="C38" s="252"/>
      <c r="D38" s="253" t="s">
        <v>4</v>
      </c>
      <c r="E38" s="254" t="s">
        <v>100</v>
      </c>
      <c r="F38" s="254" t="s">
        <v>229</v>
      </c>
      <c r="G38" s="252"/>
      <c r="H38" s="252"/>
      <c r="I38" s="255"/>
      <c r="J38" s="256">
        <f>+SUBTOTAL(9,J39:J44)</f>
        <v>26655.200000000001</v>
      </c>
      <c r="K38" s="261"/>
      <c r="L38" s="262"/>
      <c r="M38" s="279">
        <f>SUM(M39:M44)</f>
        <v>0</v>
      </c>
      <c r="N38" s="280"/>
      <c r="O38" s="262"/>
      <c r="P38" s="279">
        <f>SUM(P39:P44)</f>
        <v>26655.240599999997</v>
      </c>
      <c r="Q38" s="121"/>
      <c r="R38" s="194">
        <f t="shared" si="5"/>
        <v>0</v>
      </c>
    </row>
    <row r="39" spans="2:18" s="121" customFormat="1" ht="12" x14ac:dyDescent="0.2">
      <c r="B39" s="120"/>
      <c r="C39" s="56" t="s">
        <v>165</v>
      </c>
      <c r="D39" s="56" t="s">
        <v>96</v>
      </c>
      <c r="E39" s="57" t="s">
        <v>231</v>
      </c>
      <c r="F39" s="58" t="s">
        <v>232</v>
      </c>
      <c r="G39" s="59" t="s">
        <v>99</v>
      </c>
      <c r="H39" s="60">
        <v>1</v>
      </c>
      <c r="I39" s="61">
        <v>122.32</v>
      </c>
      <c r="J39" s="60">
        <v>122.3</v>
      </c>
      <c r="K39" s="68">
        <v>0</v>
      </c>
      <c r="L39" s="69">
        <f t="shared" si="0"/>
        <v>122.32</v>
      </c>
      <c r="M39" s="273">
        <f t="shared" si="1"/>
        <v>0</v>
      </c>
      <c r="N39" s="71">
        <f t="shared" si="2"/>
        <v>1</v>
      </c>
      <c r="O39" s="72">
        <f t="shared" si="3"/>
        <v>122.32</v>
      </c>
      <c r="P39" s="274">
        <f t="shared" si="4"/>
        <v>122.32</v>
      </c>
      <c r="R39" s="194">
        <f t="shared" si="5"/>
        <v>1.08</v>
      </c>
    </row>
    <row r="40" spans="2:18" s="121" customFormat="1" ht="12" x14ac:dyDescent="0.2">
      <c r="B40" s="120"/>
      <c r="C40" s="73" t="s">
        <v>168</v>
      </c>
      <c r="D40" s="73" t="s">
        <v>209</v>
      </c>
      <c r="E40" s="74" t="s">
        <v>234</v>
      </c>
      <c r="F40" s="75" t="s">
        <v>235</v>
      </c>
      <c r="G40" s="76" t="s">
        <v>99</v>
      </c>
      <c r="H40" s="77">
        <v>1</v>
      </c>
      <c r="I40" s="78">
        <v>345.9</v>
      </c>
      <c r="J40" s="77">
        <v>345.9</v>
      </c>
      <c r="K40" s="68">
        <v>0</v>
      </c>
      <c r="L40" s="69">
        <f t="shared" si="0"/>
        <v>345.9</v>
      </c>
      <c r="M40" s="273">
        <f t="shared" si="1"/>
        <v>0</v>
      </c>
      <c r="N40" s="71">
        <f t="shared" si="2"/>
        <v>1</v>
      </c>
      <c r="O40" s="72">
        <f t="shared" si="3"/>
        <v>345.9</v>
      </c>
      <c r="P40" s="274">
        <f t="shared" si="4"/>
        <v>345.9</v>
      </c>
      <c r="R40" s="194">
        <f t="shared" si="5"/>
        <v>1.08</v>
      </c>
    </row>
    <row r="41" spans="2:18" s="121" customFormat="1" ht="12" x14ac:dyDescent="0.2">
      <c r="B41" s="120"/>
      <c r="C41" s="56" t="s">
        <v>171</v>
      </c>
      <c r="D41" s="56" t="s">
        <v>96</v>
      </c>
      <c r="E41" s="57" t="s">
        <v>246</v>
      </c>
      <c r="F41" s="58" t="s">
        <v>247</v>
      </c>
      <c r="G41" s="59" t="s">
        <v>99</v>
      </c>
      <c r="H41" s="60">
        <v>1</v>
      </c>
      <c r="I41" s="61">
        <v>152.57</v>
      </c>
      <c r="J41" s="60">
        <v>152.6</v>
      </c>
      <c r="K41" s="68">
        <v>0</v>
      </c>
      <c r="L41" s="69">
        <f t="shared" si="0"/>
        <v>152.57</v>
      </c>
      <c r="M41" s="273">
        <f t="shared" si="1"/>
        <v>0</v>
      </c>
      <c r="N41" s="71">
        <f t="shared" si="2"/>
        <v>1</v>
      </c>
      <c r="O41" s="72">
        <f t="shared" si="3"/>
        <v>152.57</v>
      </c>
      <c r="P41" s="274">
        <f t="shared" si="4"/>
        <v>152.57</v>
      </c>
      <c r="R41" s="194">
        <f t="shared" si="5"/>
        <v>1.08</v>
      </c>
    </row>
    <row r="42" spans="2:18" s="121" customFormat="1" ht="12" x14ac:dyDescent="0.2">
      <c r="B42" s="120"/>
      <c r="C42" s="73" t="s">
        <v>174</v>
      </c>
      <c r="D42" s="73" t="s">
        <v>209</v>
      </c>
      <c r="E42" s="74" t="s">
        <v>249</v>
      </c>
      <c r="F42" s="75" t="s">
        <v>250</v>
      </c>
      <c r="G42" s="76" t="s">
        <v>99</v>
      </c>
      <c r="H42" s="77">
        <v>1</v>
      </c>
      <c r="I42" s="78">
        <v>395.88</v>
      </c>
      <c r="J42" s="77">
        <v>395.9</v>
      </c>
      <c r="K42" s="68">
        <v>0</v>
      </c>
      <c r="L42" s="69">
        <f t="shared" si="0"/>
        <v>395.88</v>
      </c>
      <c r="M42" s="273">
        <f t="shared" si="1"/>
        <v>0</v>
      </c>
      <c r="N42" s="71">
        <f t="shared" si="2"/>
        <v>1</v>
      </c>
      <c r="O42" s="72">
        <f t="shared" si="3"/>
        <v>395.88</v>
      </c>
      <c r="P42" s="274">
        <f t="shared" si="4"/>
        <v>395.88</v>
      </c>
      <c r="R42" s="194">
        <f t="shared" si="5"/>
        <v>1.08</v>
      </c>
    </row>
    <row r="43" spans="2:18" s="121" customFormat="1" ht="12" x14ac:dyDescent="0.2">
      <c r="B43" s="120"/>
      <c r="C43" s="56" t="s">
        <v>177</v>
      </c>
      <c r="D43" s="56" t="s">
        <v>96</v>
      </c>
      <c r="E43" s="57" t="s">
        <v>252</v>
      </c>
      <c r="F43" s="58" t="s">
        <v>253</v>
      </c>
      <c r="G43" s="59" t="s">
        <v>150</v>
      </c>
      <c r="H43" s="60">
        <v>6.99</v>
      </c>
      <c r="I43" s="61">
        <v>3239.16</v>
      </c>
      <c r="J43" s="60">
        <v>22641.7</v>
      </c>
      <c r="K43" s="68">
        <v>0</v>
      </c>
      <c r="L43" s="69">
        <f t="shared" si="0"/>
        <v>3239.16</v>
      </c>
      <c r="M43" s="273">
        <f t="shared" si="1"/>
        <v>0</v>
      </c>
      <c r="N43" s="71">
        <f t="shared" si="2"/>
        <v>6.99</v>
      </c>
      <c r="O43" s="72">
        <f t="shared" si="3"/>
        <v>3239.16</v>
      </c>
      <c r="P43" s="274">
        <f t="shared" si="4"/>
        <v>22641.7284</v>
      </c>
      <c r="R43" s="194">
        <f t="shared" si="5"/>
        <v>7.52</v>
      </c>
    </row>
    <row r="44" spans="2:18" s="121" customFormat="1" ht="12" x14ac:dyDescent="0.2">
      <c r="B44" s="120"/>
      <c r="C44" s="56" t="s">
        <v>180</v>
      </c>
      <c r="D44" s="56" t="s">
        <v>96</v>
      </c>
      <c r="E44" s="57" t="s">
        <v>255</v>
      </c>
      <c r="F44" s="58" t="s">
        <v>256</v>
      </c>
      <c r="G44" s="59" t="s">
        <v>150</v>
      </c>
      <c r="H44" s="60">
        <v>0.94</v>
      </c>
      <c r="I44" s="61">
        <v>3188.13</v>
      </c>
      <c r="J44" s="60">
        <v>2996.8</v>
      </c>
      <c r="K44" s="68">
        <v>0</v>
      </c>
      <c r="L44" s="69">
        <f t="shared" si="0"/>
        <v>3188.13</v>
      </c>
      <c r="M44" s="273">
        <f t="shared" si="1"/>
        <v>0</v>
      </c>
      <c r="N44" s="71">
        <f t="shared" si="2"/>
        <v>0.94</v>
      </c>
      <c r="O44" s="72">
        <f t="shared" si="3"/>
        <v>3188.13</v>
      </c>
      <c r="P44" s="274">
        <f t="shared" si="4"/>
        <v>2996.8422</v>
      </c>
      <c r="R44" s="194">
        <f t="shared" si="5"/>
        <v>1.01</v>
      </c>
    </row>
    <row r="45" spans="2:18" s="170" customFormat="1" ht="12.75" x14ac:dyDescent="0.2">
      <c r="B45" s="165"/>
      <c r="C45" s="252"/>
      <c r="D45" s="253" t="s">
        <v>4</v>
      </c>
      <c r="E45" s="254" t="s">
        <v>105</v>
      </c>
      <c r="F45" s="254" t="s">
        <v>257</v>
      </c>
      <c r="G45" s="252"/>
      <c r="H45" s="252"/>
      <c r="I45" s="255"/>
      <c r="J45" s="256">
        <f>+SUBTOTAL(9,J46:J50)</f>
        <v>95692.799999999988</v>
      </c>
      <c r="K45" s="261"/>
      <c r="L45" s="262"/>
      <c r="M45" s="279">
        <f>SUM(M46:M50)</f>
        <v>0</v>
      </c>
      <c r="N45" s="280"/>
      <c r="O45" s="262"/>
      <c r="P45" s="279">
        <f>SUM(P46:P50)</f>
        <v>95692.792000000001</v>
      </c>
      <c r="Q45" s="121"/>
      <c r="R45" s="194">
        <f t="shared" si="5"/>
        <v>0</v>
      </c>
    </row>
    <row r="46" spans="2:18" s="121" customFormat="1" ht="33.75" x14ac:dyDescent="0.2">
      <c r="B46" s="120"/>
      <c r="C46" s="56" t="s">
        <v>183</v>
      </c>
      <c r="D46" s="56" t="s">
        <v>96</v>
      </c>
      <c r="E46" s="57" t="s">
        <v>262</v>
      </c>
      <c r="F46" s="58" t="s">
        <v>263</v>
      </c>
      <c r="G46" s="59" t="s">
        <v>108</v>
      </c>
      <c r="H46" s="60">
        <v>57.2</v>
      </c>
      <c r="I46" s="61">
        <v>302.54000000000002</v>
      </c>
      <c r="J46" s="60">
        <v>17305.3</v>
      </c>
      <c r="K46" s="68">
        <v>0</v>
      </c>
      <c r="L46" s="69">
        <f t="shared" si="0"/>
        <v>302.54000000000002</v>
      </c>
      <c r="M46" s="273">
        <f t="shared" si="1"/>
        <v>0</v>
      </c>
      <c r="N46" s="71">
        <f t="shared" si="2"/>
        <v>57.2</v>
      </c>
      <c r="O46" s="72">
        <f t="shared" si="3"/>
        <v>302.54000000000002</v>
      </c>
      <c r="P46" s="274">
        <f t="shared" si="4"/>
        <v>17305.288</v>
      </c>
      <c r="Q46" s="190" t="s">
        <v>1186</v>
      </c>
      <c r="R46" s="194">
        <f t="shared" si="5"/>
        <v>61.53</v>
      </c>
    </row>
    <row r="47" spans="2:18" s="121" customFormat="1" ht="12" x14ac:dyDescent="0.2">
      <c r="B47" s="120"/>
      <c r="C47" s="56" t="s">
        <v>186</v>
      </c>
      <c r="D47" s="56" t="s">
        <v>96</v>
      </c>
      <c r="E47" s="57" t="s">
        <v>268</v>
      </c>
      <c r="F47" s="58" t="s">
        <v>269</v>
      </c>
      <c r="G47" s="59" t="s">
        <v>108</v>
      </c>
      <c r="H47" s="60">
        <v>57.2</v>
      </c>
      <c r="I47" s="61">
        <v>14.18</v>
      </c>
      <c r="J47" s="60">
        <v>811.1</v>
      </c>
      <c r="K47" s="68">
        <v>0</v>
      </c>
      <c r="L47" s="69">
        <f t="shared" si="0"/>
        <v>14.18</v>
      </c>
      <c r="M47" s="273">
        <f t="shared" si="1"/>
        <v>0</v>
      </c>
      <c r="N47" s="71">
        <f t="shared" si="2"/>
        <v>57.2</v>
      </c>
      <c r="O47" s="72">
        <f t="shared" si="3"/>
        <v>14.18</v>
      </c>
      <c r="P47" s="274">
        <f t="shared" si="4"/>
        <v>811.096</v>
      </c>
      <c r="R47" s="194">
        <f t="shared" si="5"/>
        <v>61.53</v>
      </c>
    </row>
    <row r="48" spans="2:18" s="121" customFormat="1" ht="12" x14ac:dyDescent="0.2">
      <c r="B48" s="120"/>
      <c r="C48" s="56" t="s">
        <v>189</v>
      </c>
      <c r="D48" s="56" t="s">
        <v>96</v>
      </c>
      <c r="E48" s="57" t="s">
        <v>271</v>
      </c>
      <c r="F48" s="58" t="s">
        <v>272</v>
      </c>
      <c r="G48" s="59" t="s">
        <v>108</v>
      </c>
      <c r="H48" s="60">
        <v>109.2</v>
      </c>
      <c r="I48" s="61">
        <v>20.62</v>
      </c>
      <c r="J48" s="60">
        <v>2251.6999999999998</v>
      </c>
      <c r="K48" s="68">
        <v>0</v>
      </c>
      <c r="L48" s="69">
        <f t="shared" si="0"/>
        <v>20.62</v>
      </c>
      <c r="M48" s="273">
        <f t="shared" si="1"/>
        <v>0</v>
      </c>
      <c r="N48" s="71">
        <f t="shared" si="2"/>
        <v>109.2</v>
      </c>
      <c r="O48" s="72">
        <f t="shared" si="3"/>
        <v>20.62</v>
      </c>
      <c r="P48" s="274">
        <f t="shared" si="4"/>
        <v>2251.7040000000002</v>
      </c>
      <c r="R48" s="194">
        <f t="shared" si="5"/>
        <v>117.47</v>
      </c>
    </row>
    <row r="49" spans="2:18" s="121" customFormat="1" ht="12" x14ac:dyDescent="0.2">
      <c r="B49" s="120"/>
      <c r="C49" s="56" t="s">
        <v>192</v>
      </c>
      <c r="D49" s="56" t="s">
        <v>96</v>
      </c>
      <c r="E49" s="57" t="s">
        <v>274</v>
      </c>
      <c r="F49" s="58" t="s">
        <v>275</v>
      </c>
      <c r="G49" s="59" t="s">
        <v>108</v>
      </c>
      <c r="H49" s="60">
        <v>109.2</v>
      </c>
      <c r="I49" s="61">
        <v>396.71</v>
      </c>
      <c r="J49" s="60">
        <v>43320.7</v>
      </c>
      <c r="K49" s="68">
        <v>0</v>
      </c>
      <c r="L49" s="69">
        <f t="shared" si="0"/>
        <v>396.71</v>
      </c>
      <c r="M49" s="273">
        <f t="shared" si="1"/>
        <v>0</v>
      </c>
      <c r="N49" s="71">
        <f t="shared" si="2"/>
        <v>109.2</v>
      </c>
      <c r="O49" s="72">
        <f t="shared" si="3"/>
        <v>396.71</v>
      </c>
      <c r="P49" s="274">
        <f t="shared" si="4"/>
        <v>43320.731999999996</v>
      </c>
      <c r="R49" s="194">
        <f t="shared" si="5"/>
        <v>117.47</v>
      </c>
    </row>
    <row r="50" spans="2:18" s="121" customFormat="1" ht="12" x14ac:dyDescent="0.2">
      <c r="B50" s="120"/>
      <c r="C50" s="56" t="s">
        <v>195</v>
      </c>
      <c r="D50" s="56" t="s">
        <v>96</v>
      </c>
      <c r="E50" s="57" t="s">
        <v>277</v>
      </c>
      <c r="F50" s="58" t="s">
        <v>278</v>
      </c>
      <c r="G50" s="59" t="s">
        <v>108</v>
      </c>
      <c r="H50" s="60">
        <v>57.2</v>
      </c>
      <c r="I50" s="61">
        <v>559.51</v>
      </c>
      <c r="J50" s="60">
        <v>32004</v>
      </c>
      <c r="K50" s="68">
        <v>0</v>
      </c>
      <c r="L50" s="69">
        <f t="shared" si="0"/>
        <v>559.51</v>
      </c>
      <c r="M50" s="273">
        <f t="shared" si="1"/>
        <v>0</v>
      </c>
      <c r="N50" s="71">
        <f t="shared" si="2"/>
        <v>57.2</v>
      </c>
      <c r="O50" s="72">
        <f t="shared" si="3"/>
        <v>559.51</v>
      </c>
      <c r="P50" s="274">
        <f t="shared" si="4"/>
        <v>32003.972000000002</v>
      </c>
      <c r="R50" s="194">
        <f t="shared" si="5"/>
        <v>61.53</v>
      </c>
    </row>
    <row r="51" spans="2:18" s="170" customFormat="1" ht="12.75" x14ac:dyDescent="0.2">
      <c r="B51" s="165"/>
      <c r="C51" s="252"/>
      <c r="D51" s="253" t="s">
        <v>4</v>
      </c>
      <c r="E51" s="254" t="s">
        <v>115</v>
      </c>
      <c r="F51" s="254" t="s">
        <v>288</v>
      </c>
      <c r="G51" s="252"/>
      <c r="H51" s="252"/>
      <c r="I51" s="255"/>
      <c r="J51" s="256">
        <f>+SUBTOTAL(9,J52:J76)</f>
        <v>158921.50000000003</v>
      </c>
      <c r="K51" s="261"/>
      <c r="L51" s="262"/>
      <c r="M51" s="279">
        <f>SUM(M52:M76)</f>
        <v>-335.54</v>
      </c>
      <c r="N51" s="280"/>
      <c r="O51" s="262"/>
      <c r="P51" s="279">
        <f>SUM(P52:P76)</f>
        <v>158586.01180000001</v>
      </c>
      <c r="Q51" s="121"/>
      <c r="R51" s="194">
        <f t="shared" si="5"/>
        <v>0</v>
      </c>
    </row>
    <row r="52" spans="2:18" s="121" customFormat="1" ht="12" x14ac:dyDescent="0.2">
      <c r="B52" s="120"/>
      <c r="C52" s="56" t="s">
        <v>198</v>
      </c>
      <c r="D52" s="56" t="s">
        <v>96</v>
      </c>
      <c r="E52" s="57" t="s">
        <v>290</v>
      </c>
      <c r="F52" s="58" t="s">
        <v>291</v>
      </c>
      <c r="G52" s="59" t="s">
        <v>133</v>
      </c>
      <c r="H52" s="60">
        <v>2</v>
      </c>
      <c r="I52" s="61">
        <v>415.61</v>
      </c>
      <c r="J52" s="60">
        <v>831.2</v>
      </c>
      <c r="K52" s="68">
        <v>0</v>
      </c>
      <c r="L52" s="69">
        <f t="shared" si="0"/>
        <v>415.61</v>
      </c>
      <c r="M52" s="273">
        <f t="shared" si="1"/>
        <v>0</v>
      </c>
      <c r="N52" s="71">
        <f t="shared" si="2"/>
        <v>2</v>
      </c>
      <c r="O52" s="72">
        <f t="shared" si="3"/>
        <v>415.61</v>
      </c>
      <c r="P52" s="274">
        <f t="shared" si="4"/>
        <v>831.22</v>
      </c>
      <c r="R52" s="194">
        <f t="shared" si="5"/>
        <v>2.15</v>
      </c>
    </row>
    <row r="53" spans="2:18" s="121" customFormat="1" ht="12" x14ac:dyDescent="0.2">
      <c r="B53" s="120"/>
      <c r="C53" s="73" t="s">
        <v>202</v>
      </c>
      <c r="D53" s="73" t="s">
        <v>209</v>
      </c>
      <c r="E53" s="74" t="s">
        <v>293</v>
      </c>
      <c r="F53" s="75" t="s">
        <v>294</v>
      </c>
      <c r="G53" s="76" t="s">
        <v>133</v>
      </c>
      <c r="H53" s="77">
        <v>2</v>
      </c>
      <c r="I53" s="78">
        <v>731.26</v>
      </c>
      <c r="J53" s="77">
        <v>1462.5</v>
      </c>
      <c r="K53" s="68">
        <v>0</v>
      </c>
      <c r="L53" s="69">
        <f t="shared" si="0"/>
        <v>731.26</v>
      </c>
      <c r="M53" s="273">
        <f t="shared" si="1"/>
        <v>0</v>
      </c>
      <c r="N53" s="71">
        <f t="shared" si="2"/>
        <v>2</v>
      </c>
      <c r="O53" s="72">
        <f t="shared" si="3"/>
        <v>731.26</v>
      </c>
      <c r="P53" s="274">
        <f t="shared" si="4"/>
        <v>1462.52</v>
      </c>
      <c r="R53" s="194">
        <f t="shared" si="5"/>
        <v>2.15</v>
      </c>
    </row>
    <row r="54" spans="2:18" s="121" customFormat="1" ht="12" x14ac:dyDescent="0.2">
      <c r="B54" s="120"/>
      <c r="C54" s="56" t="s">
        <v>205</v>
      </c>
      <c r="D54" s="56" t="s">
        <v>96</v>
      </c>
      <c r="E54" s="57" t="s">
        <v>296</v>
      </c>
      <c r="F54" s="58" t="s">
        <v>297</v>
      </c>
      <c r="G54" s="59" t="s">
        <v>133</v>
      </c>
      <c r="H54" s="60">
        <v>48.34</v>
      </c>
      <c r="I54" s="61">
        <v>552.39</v>
      </c>
      <c r="J54" s="60">
        <v>26702.5</v>
      </c>
      <c r="K54" s="68">
        <f t="shared" ref="K54:K55" si="7">ROUND(51.8/52*R54-R54,2)</f>
        <v>-0.2</v>
      </c>
      <c r="L54" s="69">
        <f t="shared" si="0"/>
        <v>552.39</v>
      </c>
      <c r="M54" s="273">
        <f t="shared" si="1"/>
        <v>-110.47800000000001</v>
      </c>
      <c r="N54" s="71">
        <f t="shared" si="2"/>
        <v>48.14</v>
      </c>
      <c r="O54" s="72">
        <f t="shared" si="3"/>
        <v>552.39</v>
      </c>
      <c r="P54" s="274">
        <f t="shared" si="4"/>
        <v>26592.054599999999</v>
      </c>
      <c r="R54" s="194">
        <f t="shared" si="5"/>
        <v>52</v>
      </c>
    </row>
    <row r="55" spans="2:18" s="121" customFormat="1" ht="12" x14ac:dyDescent="0.2">
      <c r="B55" s="120"/>
      <c r="C55" s="73" t="s">
        <v>208</v>
      </c>
      <c r="D55" s="73" t="s">
        <v>209</v>
      </c>
      <c r="E55" s="74" t="s">
        <v>299</v>
      </c>
      <c r="F55" s="75" t="s">
        <v>500</v>
      </c>
      <c r="G55" s="76" t="s">
        <v>133</v>
      </c>
      <c r="H55" s="77">
        <v>48.34</v>
      </c>
      <c r="I55" s="78">
        <v>1060.07</v>
      </c>
      <c r="J55" s="77">
        <v>51243.8</v>
      </c>
      <c r="K55" s="68">
        <f t="shared" si="7"/>
        <v>-0.2</v>
      </c>
      <c r="L55" s="69">
        <f t="shared" si="0"/>
        <v>1060.07</v>
      </c>
      <c r="M55" s="273">
        <f t="shared" si="1"/>
        <v>-212.01400000000001</v>
      </c>
      <c r="N55" s="71">
        <f t="shared" si="2"/>
        <v>48.14</v>
      </c>
      <c r="O55" s="72">
        <f t="shared" si="3"/>
        <v>1060.07</v>
      </c>
      <c r="P55" s="274">
        <f t="shared" si="4"/>
        <v>51031.769799999995</v>
      </c>
      <c r="R55" s="194">
        <f t="shared" si="5"/>
        <v>52</v>
      </c>
    </row>
    <row r="56" spans="2:18" s="121" customFormat="1" ht="12" x14ac:dyDescent="0.2">
      <c r="B56" s="120"/>
      <c r="C56" s="73" t="s">
        <v>212</v>
      </c>
      <c r="D56" s="73" t="s">
        <v>209</v>
      </c>
      <c r="E56" s="74" t="s">
        <v>302</v>
      </c>
      <c r="F56" s="75" t="s">
        <v>303</v>
      </c>
      <c r="G56" s="76" t="s">
        <v>99</v>
      </c>
      <c r="H56" s="77">
        <v>5</v>
      </c>
      <c r="I56" s="78">
        <v>739.15</v>
      </c>
      <c r="J56" s="77">
        <v>3695.8</v>
      </c>
      <c r="K56" s="68">
        <v>0</v>
      </c>
      <c r="L56" s="69">
        <f t="shared" si="0"/>
        <v>739.15</v>
      </c>
      <c r="M56" s="273">
        <f t="shared" si="1"/>
        <v>0</v>
      </c>
      <c r="N56" s="71">
        <f t="shared" si="2"/>
        <v>5</v>
      </c>
      <c r="O56" s="72">
        <f t="shared" si="3"/>
        <v>739.15</v>
      </c>
      <c r="P56" s="274">
        <f t="shared" si="4"/>
        <v>3695.75</v>
      </c>
      <c r="R56" s="194">
        <f t="shared" si="5"/>
        <v>5.38</v>
      </c>
    </row>
    <row r="57" spans="2:18" s="121" customFormat="1" ht="12" x14ac:dyDescent="0.2">
      <c r="B57" s="120"/>
      <c r="C57" s="56" t="s">
        <v>215</v>
      </c>
      <c r="D57" s="56" t="s">
        <v>96</v>
      </c>
      <c r="E57" s="57" t="s">
        <v>314</v>
      </c>
      <c r="F57" s="58" t="s">
        <v>315</v>
      </c>
      <c r="G57" s="59" t="s">
        <v>99</v>
      </c>
      <c r="H57" s="60">
        <v>1</v>
      </c>
      <c r="I57" s="61">
        <v>195.97</v>
      </c>
      <c r="J57" s="60">
        <v>196</v>
      </c>
      <c r="K57" s="68">
        <v>0</v>
      </c>
      <c r="L57" s="69">
        <f t="shared" si="0"/>
        <v>195.97</v>
      </c>
      <c r="M57" s="273">
        <f t="shared" si="1"/>
        <v>0</v>
      </c>
      <c r="N57" s="71">
        <f t="shared" si="2"/>
        <v>1</v>
      </c>
      <c r="O57" s="72">
        <f t="shared" si="3"/>
        <v>195.97</v>
      </c>
      <c r="P57" s="274">
        <f t="shared" si="4"/>
        <v>195.97</v>
      </c>
      <c r="R57" s="194">
        <f t="shared" si="5"/>
        <v>1.08</v>
      </c>
    </row>
    <row r="58" spans="2:18" s="121" customFormat="1" ht="12" x14ac:dyDescent="0.2">
      <c r="B58" s="120"/>
      <c r="C58" s="73" t="s">
        <v>219</v>
      </c>
      <c r="D58" s="73" t="s">
        <v>209</v>
      </c>
      <c r="E58" s="74" t="s">
        <v>317</v>
      </c>
      <c r="F58" s="75" t="s">
        <v>318</v>
      </c>
      <c r="G58" s="76" t="s">
        <v>99</v>
      </c>
      <c r="H58" s="77">
        <v>1</v>
      </c>
      <c r="I58" s="78">
        <v>660.24</v>
      </c>
      <c r="J58" s="77">
        <v>660.2</v>
      </c>
      <c r="K58" s="68">
        <v>0</v>
      </c>
      <c r="L58" s="69">
        <f t="shared" si="0"/>
        <v>660.24</v>
      </c>
      <c r="M58" s="273">
        <f t="shared" si="1"/>
        <v>0</v>
      </c>
      <c r="N58" s="71">
        <f t="shared" si="2"/>
        <v>1</v>
      </c>
      <c r="O58" s="72">
        <f t="shared" si="3"/>
        <v>660.24</v>
      </c>
      <c r="P58" s="274">
        <f t="shared" si="4"/>
        <v>660.24</v>
      </c>
      <c r="R58" s="194">
        <f t="shared" si="5"/>
        <v>1.08</v>
      </c>
    </row>
    <row r="59" spans="2:18" s="121" customFormat="1" ht="12" x14ac:dyDescent="0.2">
      <c r="B59" s="120"/>
      <c r="C59" s="56" t="s">
        <v>223</v>
      </c>
      <c r="D59" s="56" t="s">
        <v>96</v>
      </c>
      <c r="E59" s="57" t="s">
        <v>320</v>
      </c>
      <c r="F59" s="58" t="s">
        <v>321</v>
      </c>
      <c r="G59" s="59" t="s">
        <v>99</v>
      </c>
      <c r="H59" s="60">
        <v>3</v>
      </c>
      <c r="I59" s="61">
        <v>260.41000000000003</v>
      </c>
      <c r="J59" s="60">
        <v>781.2</v>
      </c>
      <c r="K59" s="68">
        <v>0</v>
      </c>
      <c r="L59" s="69">
        <f t="shared" si="0"/>
        <v>260.41000000000003</v>
      </c>
      <c r="M59" s="273">
        <f t="shared" si="1"/>
        <v>0</v>
      </c>
      <c r="N59" s="71">
        <f t="shared" si="2"/>
        <v>3</v>
      </c>
      <c r="O59" s="72">
        <f t="shared" si="3"/>
        <v>260.41000000000003</v>
      </c>
      <c r="P59" s="274">
        <f t="shared" si="4"/>
        <v>781.23</v>
      </c>
      <c r="R59" s="194">
        <f t="shared" si="5"/>
        <v>3.23</v>
      </c>
    </row>
    <row r="60" spans="2:18" s="121" customFormat="1" ht="12" x14ac:dyDescent="0.2">
      <c r="B60" s="120"/>
      <c r="C60" s="73" t="s">
        <v>226</v>
      </c>
      <c r="D60" s="73" t="s">
        <v>209</v>
      </c>
      <c r="E60" s="74" t="s">
        <v>323</v>
      </c>
      <c r="F60" s="75" t="s">
        <v>324</v>
      </c>
      <c r="G60" s="76" t="s">
        <v>99</v>
      </c>
      <c r="H60" s="77">
        <v>1.02</v>
      </c>
      <c r="I60" s="78">
        <v>1839.99</v>
      </c>
      <c r="J60" s="77">
        <v>1876.8</v>
      </c>
      <c r="K60" s="68">
        <v>0</v>
      </c>
      <c r="L60" s="69">
        <f t="shared" si="0"/>
        <v>1839.99</v>
      </c>
      <c r="M60" s="273">
        <f t="shared" si="1"/>
        <v>0</v>
      </c>
      <c r="N60" s="71">
        <f t="shared" si="2"/>
        <v>1.02</v>
      </c>
      <c r="O60" s="72">
        <f t="shared" si="3"/>
        <v>1839.99</v>
      </c>
      <c r="P60" s="274">
        <f t="shared" si="4"/>
        <v>1876.7898</v>
      </c>
      <c r="R60" s="194">
        <f t="shared" si="5"/>
        <v>1.1000000000000001</v>
      </c>
    </row>
    <row r="61" spans="2:18" s="121" customFormat="1" ht="12" x14ac:dyDescent="0.2">
      <c r="B61" s="120"/>
      <c r="C61" s="73" t="s">
        <v>230</v>
      </c>
      <c r="D61" s="73" t="s">
        <v>209</v>
      </c>
      <c r="E61" s="74" t="s">
        <v>326</v>
      </c>
      <c r="F61" s="75" t="s">
        <v>327</v>
      </c>
      <c r="G61" s="76" t="s">
        <v>99</v>
      </c>
      <c r="H61" s="77">
        <v>2.0299999999999998</v>
      </c>
      <c r="I61" s="78">
        <v>1801.85</v>
      </c>
      <c r="J61" s="77">
        <v>3657.8</v>
      </c>
      <c r="K61" s="68">
        <v>0</v>
      </c>
      <c r="L61" s="69">
        <f t="shared" si="0"/>
        <v>1801.85</v>
      </c>
      <c r="M61" s="273">
        <f t="shared" si="1"/>
        <v>0</v>
      </c>
      <c r="N61" s="71">
        <f t="shared" si="2"/>
        <v>2.0299999999999998</v>
      </c>
      <c r="O61" s="72">
        <f t="shared" si="3"/>
        <v>1801.85</v>
      </c>
      <c r="P61" s="274">
        <f t="shared" si="4"/>
        <v>3657.7554999999993</v>
      </c>
      <c r="R61" s="194">
        <f t="shared" si="5"/>
        <v>2.1800000000000002</v>
      </c>
    </row>
    <row r="62" spans="2:18" s="121" customFormat="1" ht="12" x14ac:dyDescent="0.2">
      <c r="B62" s="120"/>
      <c r="C62" s="56" t="s">
        <v>233</v>
      </c>
      <c r="D62" s="56" t="s">
        <v>96</v>
      </c>
      <c r="E62" s="57" t="s">
        <v>329</v>
      </c>
      <c r="F62" s="58" t="s">
        <v>330</v>
      </c>
      <c r="G62" s="59" t="s">
        <v>99</v>
      </c>
      <c r="H62" s="60">
        <v>3</v>
      </c>
      <c r="I62" s="61">
        <v>219.64</v>
      </c>
      <c r="J62" s="60">
        <v>658.9</v>
      </c>
      <c r="K62" s="68">
        <v>0</v>
      </c>
      <c r="L62" s="69">
        <f t="shared" si="0"/>
        <v>219.64</v>
      </c>
      <c r="M62" s="273">
        <f t="shared" si="1"/>
        <v>0</v>
      </c>
      <c r="N62" s="71">
        <f t="shared" si="2"/>
        <v>3</v>
      </c>
      <c r="O62" s="72">
        <f t="shared" si="3"/>
        <v>219.64</v>
      </c>
      <c r="P62" s="274">
        <f t="shared" si="4"/>
        <v>658.92</v>
      </c>
      <c r="R62" s="194">
        <f t="shared" si="5"/>
        <v>3.23</v>
      </c>
    </row>
    <row r="63" spans="2:18" s="121" customFormat="1" ht="12" x14ac:dyDescent="0.2">
      <c r="B63" s="120"/>
      <c r="C63" s="73" t="s">
        <v>236</v>
      </c>
      <c r="D63" s="73" t="s">
        <v>209</v>
      </c>
      <c r="E63" s="74" t="s">
        <v>332</v>
      </c>
      <c r="F63" s="75" t="s">
        <v>333</v>
      </c>
      <c r="G63" s="76" t="s">
        <v>99</v>
      </c>
      <c r="H63" s="77">
        <v>1.02</v>
      </c>
      <c r="I63" s="78">
        <v>1129.77</v>
      </c>
      <c r="J63" s="77">
        <v>1152.4000000000001</v>
      </c>
      <c r="K63" s="68">
        <v>0</v>
      </c>
      <c r="L63" s="69">
        <f t="shared" si="0"/>
        <v>1129.77</v>
      </c>
      <c r="M63" s="273">
        <f t="shared" si="1"/>
        <v>0</v>
      </c>
      <c r="N63" s="71">
        <f t="shared" si="2"/>
        <v>1.02</v>
      </c>
      <c r="O63" s="72">
        <f t="shared" si="3"/>
        <v>1129.77</v>
      </c>
      <c r="P63" s="274">
        <f t="shared" si="4"/>
        <v>1152.3653999999999</v>
      </c>
      <c r="R63" s="194">
        <f t="shared" si="5"/>
        <v>1.1000000000000001</v>
      </c>
    </row>
    <row r="64" spans="2:18" s="121" customFormat="1" ht="12" x14ac:dyDescent="0.2">
      <c r="B64" s="120"/>
      <c r="C64" s="73" t="s">
        <v>239</v>
      </c>
      <c r="D64" s="73" t="s">
        <v>209</v>
      </c>
      <c r="E64" s="74" t="s">
        <v>335</v>
      </c>
      <c r="F64" s="75" t="s">
        <v>336</v>
      </c>
      <c r="G64" s="76" t="s">
        <v>99</v>
      </c>
      <c r="H64" s="77">
        <v>2.0299999999999998</v>
      </c>
      <c r="I64" s="78">
        <v>1129.77</v>
      </c>
      <c r="J64" s="77">
        <v>2293.4</v>
      </c>
      <c r="K64" s="68">
        <v>0</v>
      </c>
      <c r="L64" s="69">
        <f t="shared" si="0"/>
        <v>1129.77</v>
      </c>
      <c r="M64" s="273">
        <f t="shared" si="1"/>
        <v>0</v>
      </c>
      <c r="N64" s="71">
        <f t="shared" si="2"/>
        <v>2.0299999999999998</v>
      </c>
      <c r="O64" s="72">
        <f t="shared" si="3"/>
        <v>1129.77</v>
      </c>
      <c r="P64" s="274">
        <f t="shared" si="4"/>
        <v>2293.4330999999997</v>
      </c>
      <c r="R64" s="194">
        <f t="shared" si="5"/>
        <v>2.1800000000000002</v>
      </c>
    </row>
    <row r="65" spans="2:18" s="121" customFormat="1" ht="33.75" x14ac:dyDescent="0.2">
      <c r="B65" s="120"/>
      <c r="C65" s="56" t="s">
        <v>242</v>
      </c>
      <c r="D65" s="56" t="s">
        <v>96</v>
      </c>
      <c r="E65" s="57" t="s">
        <v>347</v>
      </c>
      <c r="F65" s="58" t="s">
        <v>348</v>
      </c>
      <c r="G65" s="59" t="s">
        <v>133</v>
      </c>
      <c r="H65" s="60">
        <v>48.34</v>
      </c>
      <c r="I65" s="61">
        <v>56.03</v>
      </c>
      <c r="J65" s="60">
        <v>2708.5</v>
      </c>
      <c r="K65" s="68">
        <f t="shared" ref="K65" si="8">ROUND(51.8/52*R65-R65,2)</f>
        <v>-0.2</v>
      </c>
      <c r="L65" s="69">
        <f t="shared" si="0"/>
        <v>56.03</v>
      </c>
      <c r="M65" s="273">
        <f t="shared" si="1"/>
        <v>-11.206000000000001</v>
      </c>
      <c r="N65" s="71">
        <f t="shared" si="2"/>
        <v>48.14</v>
      </c>
      <c r="O65" s="72">
        <f t="shared" si="3"/>
        <v>56.03</v>
      </c>
      <c r="P65" s="274">
        <f t="shared" si="4"/>
        <v>2697.2842000000001</v>
      </c>
      <c r="R65" s="194">
        <f t="shared" si="5"/>
        <v>52</v>
      </c>
    </row>
    <row r="66" spans="2:18" s="121" customFormat="1" ht="12" x14ac:dyDescent="0.2">
      <c r="B66" s="120"/>
      <c r="C66" s="56" t="s">
        <v>245</v>
      </c>
      <c r="D66" s="56" t="s">
        <v>96</v>
      </c>
      <c r="E66" s="57" t="s">
        <v>350</v>
      </c>
      <c r="F66" s="58" t="s">
        <v>351</v>
      </c>
      <c r="G66" s="59" t="s">
        <v>99</v>
      </c>
      <c r="H66" s="60">
        <v>3</v>
      </c>
      <c r="I66" s="61">
        <v>808.86</v>
      </c>
      <c r="J66" s="60">
        <v>2426.6</v>
      </c>
      <c r="K66" s="68">
        <v>0</v>
      </c>
      <c r="L66" s="69">
        <f t="shared" si="0"/>
        <v>808.86</v>
      </c>
      <c r="M66" s="273">
        <f t="shared" si="1"/>
        <v>0</v>
      </c>
      <c r="N66" s="71">
        <f t="shared" si="2"/>
        <v>3</v>
      </c>
      <c r="O66" s="72">
        <f t="shared" si="3"/>
        <v>808.86</v>
      </c>
      <c r="P66" s="274">
        <f t="shared" si="4"/>
        <v>2426.58</v>
      </c>
      <c r="R66" s="194">
        <f t="shared" si="5"/>
        <v>3.23</v>
      </c>
    </row>
    <row r="67" spans="2:18" s="121" customFormat="1" ht="12" x14ac:dyDescent="0.2">
      <c r="B67" s="120"/>
      <c r="C67" s="73" t="s">
        <v>248</v>
      </c>
      <c r="D67" s="73" t="s">
        <v>209</v>
      </c>
      <c r="E67" s="74" t="s">
        <v>356</v>
      </c>
      <c r="F67" s="75" t="s">
        <v>357</v>
      </c>
      <c r="G67" s="76" t="s">
        <v>99</v>
      </c>
      <c r="H67" s="77">
        <v>1</v>
      </c>
      <c r="I67" s="78">
        <v>1202.1099999999999</v>
      </c>
      <c r="J67" s="77">
        <v>1202.0999999999999</v>
      </c>
      <c r="K67" s="68">
        <v>0</v>
      </c>
      <c r="L67" s="69">
        <f t="shared" si="0"/>
        <v>1202.1099999999999</v>
      </c>
      <c r="M67" s="273">
        <f t="shared" si="1"/>
        <v>0</v>
      </c>
      <c r="N67" s="71">
        <f t="shared" si="2"/>
        <v>1</v>
      </c>
      <c r="O67" s="72">
        <f t="shared" si="3"/>
        <v>1202.1099999999999</v>
      </c>
      <c r="P67" s="274">
        <f t="shared" si="4"/>
        <v>1202.1099999999999</v>
      </c>
      <c r="R67" s="194">
        <f t="shared" si="5"/>
        <v>1.08</v>
      </c>
    </row>
    <row r="68" spans="2:18" s="121" customFormat="1" ht="12" x14ac:dyDescent="0.2">
      <c r="B68" s="120"/>
      <c r="C68" s="73" t="s">
        <v>251</v>
      </c>
      <c r="D68" s="73" t="s">
        <v>209</v>
      </c>
      <c r="E68" s="74" t="s">
        <v>359</v>
      </c>
      <c r="F68" s="75" t="s">
        <v>360</v>
      </c>
      <c r="G68" s="76" t="s">
        <v>99</v>
      </c>
      <c r="H68" s="77">
        <v>2</v>
      </c>
      <c r="I68" s="78">
        <v>775.98</v>
      </c>
      <c r="J68" s="77">
        <v>1552</v>
      </c>
      <c r="K68" s="68">
        <v>0</v>
      </c>
      <c r="L68" s="69">
        <f t="shared" si="0"/>
        <v>775.98</v>
      </c>
      <c r="M68" s="273">
        <f t="shared" si="1"/>
        <v>0</v>
      </c>
      <c r="N68" s="71">
        <f t="shared" si="2"/>
        <v>2</v>
      </c>
      <c r="O68" s="72">
        <f t="shared" si="3"/>
        <v>775.98</v>
      </c>
      <c r="P68" s="274">
        <f t="shared" si="4"/>
        <v>1551.96</v>
      </c>
      <c r="R68" s="194">
        <f t="shared" si="5"/>
        <v>2.15</v>
      </c>
    </row>
    <row r="69" spans="2:18" s="121" customFormat="1" ht="12" x14ac:dyDescent="0.2">
      <c r="B69" s="120"/>
      <c r="C69" s="73" t="s">
        <v>254</v>
      </c>
      <c r="D69" s="73" t="s">
        <v>209</v>
      </c>
      <c r="E69" s="74" t="s">
        <v>362</v>
      </c>
      <c r="F69" s="75" t="s">
        <v>363</v>
      </c>
      <c r="G69" s="76" t="s">
        <v>99</v>
      </c>
      <c r="H69" s="77">
        <v>5</v>
      </c>
      <c r="I69" s="78">
        <v>211.75</v>
      </c>
      <c r="J69" s="77">
        <v>1058.8</v>
      </c>
      <c r="K69" s="68">
        <v>0</v>
      </c>
      <c r="L69" s="69">
        <f t="shared" si="0"/>
        <v>211.75</v>
      </c>
      <c r="M69" s="273">
        <f t="shared" si="1"/>
        <v>0</v>
      </c>
      <c r="N69" s="71">
        <f t="shared" si="2"/>
        <v>5</v>
      </c>
      <c r="O69" s="72">
        <f t="shared" si="3"/>
        <v>211.75</v>
      </c>
      <c r="P69" s="274">
        <f t="shared" si="4"/>
        <v>1058.75</v>
      </c>
      <c r="R69" s="194">
        <f t="shared" si="5"/>
        <v>5.38</v>
      </c>
    </row>
    <row r="70" spans="2:18" s="121" customFormat="1" ht="12" x14ac:dyDescent="0.2">
      <c r="B70" s="120"/>
      <c r="C70" s="56" t="s">
        <v>258</v>
      </c>
      <c r="D70" s="56" t="s">
        <v>96</v>
      </c>
      <c r="E70" s="57" t="s">
        <v>365</v>
      </c>
      <c r="F70" s="58" t="s">
        <v>366</v>
      </c>
      <c r="G70" s="59" t="s">
        <v>99</v>
      </c>
      <c r="H70" s="60">
        <v>2</v>
      </c>
      <c r="I70" s="61">
        <v>808.86</v>
      </c>
      <c r="J70" s="60">
        <v>1617.7</v>
      </c>
      <c r="K70" s="68">
        <v>0</v>
      </c>
      <c r="L70" s="69">
        <f t="shared" si="0"/>
        <v>808.86</v>
      </c>
      <c r="M70" s="273">
        <f t="shared" si="1"/>
        <v>0</v>
      </c>
      <c r="N70" s="71">
        <f t="shared" si="2"/>
        <v>2</v>
      </c>
      <c r="O70" s="72">
        <f t="shared" si="3"/>
        <v>808.86</v>
      </c>
      <c r="P70" s="274">
        <f t="shared" si="4"/>
        <v>1617.72</v>
      </c>
      <c r="R70" s="194">
        <f t="shared" si="5"/>
        <v>2.15</v>
      </c>
    </row>
    <row r="71" spans="2:18" s="121" customFormat="1" ht="12" x14ac:dyDescent="0.2">
      <c r="B71" s="120"/>
      <c r="C71" s="73" t="s">
        <v>261</v>
      </c>
      <c r="D71" s="73" t="s">
        <v>209</v>
      </c>
      <c r="E71" s="74" t="s">
        <v>368</v>
      </c>
      <c r="F71" s="75" t="s">
        <v>369</v>
      </c>
      <c r="G71" s="76" t="s">
        <v>99</v>
      </c>
      <c r="H71" s="77">
        <v>2</v>
      </c>
      <c r="I71" s="78">
        <v>1530.92</v>
      </c>
      <c r="J71" s="77">
        <v>3061.8</v>
      </c>
      <c r="K71" s="68">
        <v>0</v>
      </c>
      <c r="L71" s="69">
        <f t="shared" si="0"/>
        <v>1530.92</v>
      </c>
      <c r="M71" s="273">
        <f t="shared" si="1"/>
        <v>0</v>
      </c>
      <c r="N71" s="71">
        <f t="shared" si="2"/>
        <v>2</v>
      </c>
      <c r="O71" s="72">
        <f t="shared" si="3"/>
        <v>1530.92</v>
      </c>
      <c r="P71" s="274">
        <f t="shared" si="4"/>
        <v>3061.84</v>
      </c>
      <c r="R71" s="194">
        <f t="shared" si="5"/>
        <v>2.15</v>
      </c>
    </row>
    <row r="72" spans="2:18" s="121" customFormat="1" ht="12" x14ac:dyDescent="0.2">
      <c r="B72" s="120"/>
      <c r="C72" s="56" t="s">
        <v>264</v>
      </c>
      <c r="D72" s="56" t="s">
        <v>96</v>
      </c>
      <c r="E72" s="57" t="s">
        <v>371</v>
      </c>
      <c r="F72" s="58" t="s">
        <v>372</v>
      </c>
      <c r="G72" s="59" t="s">
        <v>99</v>
      </c>
      <c r="H72" s="60">
        <v>2</v>
      </c>
      <c r="I72" s="61">
        <v>3234.12</v>
      </c>
      <c r="J72" s="60">
        <v>6468.2</v>
      </c>
      <c r="K72" s="68">
        <v>0</v>
      </c>
      <c r="L72" s="69">
        <f t="shared" si="0"/>
        <v>3234.12</v>
      </c>
      <c r="M72" s="273">
        <f t="shared" si="1"/>
        <v>0</v>
      </c>
      <c r="N72" s="71">
        <f t="shared" si="2"/>
        <v>2</v>
      </c>
      <c r="O72" s="72">
        <f t="shared" si="3"/>
        <v>3234.12</v>
      </c>
      <c r="P72" s="274">
        <f t="shared" si="4"/>
        <v>6468.24</v>
      </c>
      <c r="R72" s="194">
        <f t="shared" si="5"/>
        <v>2.15</v>
      </c>
    </row>
    <row r="73" spans="2:18" s="121" customFormat="1" ht="12" x14ac:dyDescent="0.2">
      <c r="B73" s="120"/>
      <c r="C73" s="73" t="s">
        <v>267</v>
      </c>
      <c r="D73" s="73" t="s">
        <v>209</v>
      </c>
      <c r="E73" s="74" t="s">
        <v>374</v>
      </c>
      <c r="F73" s="75" t="s">
        <v>375</v>
      </c>
      <c r="G73" s="76" t="s">
        <v>99</v>
      </c>
      <c r="H73" s="77">
        <v>2</v>
      </c>
      <c r="I73" s="78">
        <v>14588.41</v>
      </c>
      <c r="J73" s="77">
        <v>29176.799999999999</v>
      </c>
      <c r="K73" s="68">
        <v>0</v>
      </c>
      <c r="L73" s="69">
        <f t="shared" si="0"/>
        <v>14588.41</v>
      </c>
      <c r="M73" s="273">
        <f t="shared" si="1"/>
        <v>0</v>
      </c>
      <c r="N73" s="71">
        <f t="shared" si="2"/>
        <v>2</v>
      </c>
      <c r="O73" s="72">
        <f t="shared" si="3"/>
        <v>14588.41</v>
      </c>
      <c r="P73" s="274">
        <f t="shared" si="4"/>
        <v>29176.82</v>
      </c>
      <c r="R73" s="194">
        <f t="shared" si="5"/>
        <v>2.15</v>
      </c>
    </row>
    <row r="74" spans="2:18" s="121" customFormat="1" ht="12" x14ac:dyDescent="0.2">
      <c r="B74" s="120"/>
      <c r="C74" s="56" t="s">
        <v>270</v>
      </c>
      <c r="D74" s="56" t="s">
        <v>96</v>
      </c>
      <c r="E74" s="57" t="s">
        <v>377</v>
      </c>
      <c r="F74" s="58" t="s">
        <v>378</v>
      </c>
      <c r="G74" s="59" t="s">
        <v>99</v>
      </c>
      <c r="H74" s="60">
        <v>2</v>
      </c>
      <c r="I74" s="61">
        <v>485.32</v>
      </c>
      <c r="J74" s="60">
        <v>970.6</v>
      </c>
      <c r="K74" s="68">
        <v>0</v>
      </c>
      <c r="L74" s="69">
        <f t="shared" si="0"/>
        <v>485.32</v>
      </c>
      <c r="M74" s="273">
        <f t="shared" si="1"/>
        <v>0</v>
      </c>
      <c r="N74" s="71">
        <f t="shared" si="2"/>
        <v>2</v>
      </c>
      <c r="O74" s="72">
        <f t="shared" si="3"/>
        <v>485.32</v>
      </c>
      <c r="P74" s="274">
        <f t="shared" si="4"/>
        <v>970.64</v>
      </c>
      <c r="R74" s="194">
        <f t="shared" si="5"/>
        <v>2.15</v>
      </c>
    </row>
    <row r="75" spans="2:18" s="121" customFormat="1" ht="12" x14ac:dyDescent="0.2">
      <c r="B75" s="120"/>
      <c r="C75" s="73" t="s">
        <v>273</v>
      </c>
      <c r="D75" s="73" t="s">
        <v>209</v>
      </c>
      <c r="E75" s="74" t="s">
        <v>380</v>
      </c>
      <c r="F75" s="75" t="s">
        <v>381</v>
      </c>
      <c r="G75" s="76" t="s">
        <v>99</v>
      </c>
      <c r="H75" s="77">
        <v>2</v>
      </c>
      <c r="I75" s="78">
        <v>6510.34</v>
      </c>
      <c r="J75" s="77">
        <v>13020.7</v>
      </c>
      <c r="K75" s="68">
        <v>0</v>
      </c>
      <c r="L75" s="69">
        <f t="shared" si="0"/>
        <v>6510.34</v>
      </c>
      <c r="M75" s="273">
        <f t="shared" si="1"/>
        <v>0</v>
      </c>
      <c r="N75" s="71">
        <f t="shared" si="2"/>
        <v>2</v>
      </c>
      <c r="O75" s="72">
        <f t="shared" si="3"/>
        <v>6510.34</v>
      </c>
      <c r="P75" s="274">
        <f t="shared" si="4"/>
        <v>13020.68</v>
      </c>
      <c r="R75" s="194">
        <f t="shared" si="5"/>
        <v>2.15</v>
      </c>
    </row>
    <row r="76" spans="2:18" s="121" customFormat="1" ht="12" x14ac:dyDescent="0.2">
      <c r="B76" s="120"/>
      <c r="C76" s="56" t="s">
        <v>276</v>
      </c>
      <c r="D76" s="56" t="s">
        <v>96</v>
      </c>
      <c r="E76" s="57" t="s">
        <v>383</v>
      </c>
      <c r="F76" s="58" t="s">
        <v>384</v>
      </c>
      <c r="G76" s="59" t="s">
        <v>133</v>
      </c>
      <c r="H76" s="60">
        <v>48.34</v>
      </c>
      <c r="I76" s="61">
        <v>9.2100000000000009</v>
      </c>
      <c r="J76" s="60">
        <v>445.2</v>
      </c>
      <c r="K76" s="68">
        <f t="shared" ref="K76" si="9">ROUND(51.8/52*R76-R76,2)</f>
        <v>-0.2</v>
      </c>
      <c r="L76" s="69">
        <f t="shared" si="0"/>
        <v>9.2100000000000009</v>
      </c>
      <c r="M76" s="273">
        <f t="shared" si="1"/>
        <v>-1.8420000000000003</v>
      </c>
      <c r="N76" s="71">
        <f t="shared" si="2"/>
        <v>48.14</v>
      </c>
      <c r="O76" s="72">
        <f t="shared" si="3"/>
        <v>9.2100000000000009</v>
      </c>
      <c r="P76" s="274">
        <f t="shared" si="4"/>
        <v>443.36940000000004</v>
      </c>
      <c r="R76" s="194">
        <f t="shared" si="5"/>
        <v>52</v>
      </c>
    </row>
    <row r="77" spans="2:18" s="170" customFormat="1" ht="12.75" x14ac:dyDescent="0.2">
      <c r="B77" s="165"/>
      <c r="C77" s="252"/>
      <c r="D77" s="253" t="s">
        <v>4</v>
      </c>
      <c r="E77" s="254" t="s">
        <v>118</v>
      </c>
      <c r="F77" s="254" t="s">
        <v>385</v>
      </c>
      <c r="G77" s="252"/>
      <c r="H77" s="252"/>
      <c r="I77" s="255"/>
      <c r="J77" s="256">
        <f>+SUBTOTAL(9,J78:J81)</f>
        <v>22252.400000000001</v>
      </c>
      <c r="K77" s="261"/>
      <c r="L77" s="262"/>
      <c r="M77" s="279">
        <f>SUM(M78:M81)</f>
        <v>0</v>
      </c>
      <c r="N77" s="280"/>
      <c r="O77" s="262"/>
      <c r="P77" s="279">
        <f>SUM(P78:P81)</f>
        <v>22252.32</v>
      </c>
      <c r="Q77" s="121"/>
      <c r="R77" s="194">
        <f t="shared" si="5"/>
        <v>0</v>
      </c>
    </row>
    <row r="78" spans="2:18" s="121" customFormat="1" ht="12" x14ac:dyDescent="0.2">
      <c r="B78" s="120"/>
      <c r="C78" s="56" t="s">
        <v>279</v>
      </c>
      <c r="D78" s="56" t="s">
        <v>96</v>
      </c>
      <c r="E78" s="57" t="s">
        <v>387</v>
      </c>
      <c r="F78" s="58" t="s">
        <v>388</v>
      </c>
      <c r="G78" s="59" t="s">
        <v>133</v>
      </c>
      <c r="H78" s="60">
        <v>104</v>
      </c>
      <c r="I78" s="61">
        <v>87.65</v>
      </c>
      <c r="J78" s="60">
        <v>9115.6</v>
      </c>
      <c r="K78" s="68">
        <v>0</v>
      </c>
      <c r="L78" s="69">
        <f t="shared" si="0"/>
        <v>87.65</v>
      </c>
      <c r="M78" s="273">
        <f t="shared" si="1"/>
        <v>0</v>
      </c>
      <c r="N78" s="71">
        <f t="shared" si="2"/>
        <v>104</v>
      </c>
      <c r="O78" s="72">
        <f t="shared" si="3"/>
        <v>87.65</v>
      </c>
      <c r="P78" s="274">
        <f t="shared" si="4"/>
        <v>9115.6</v>
      </c>
      <c r="R78" s="194">
        <f t="shared" si="5"/>
        <v>111.87</v>
      </c>
    </row>
    <row r="79" spans="2:18" s="121" customFormat="1" ht="12" x14ac:dyDescent="0.2">
      <c r="B79" s="120"/>
      <c r="C79" s="56" t="s">
        <v>282</v>
      </c>
      <c r="D79" s="56" t="s">
        <v>96</v>
      </c>
      <c r="E79" s="57" t="s">
        <v>390</v>
      </c>
      <c r="F79" s="58" t="s">
        <v>391</v>
      </c>
      <c r="G79" s="59" t="s">
        <v>133</v>
      </c>
      <c r="H79" s="60">
        <v>104</v>
      </c>
      <c r="I79" s="61">
        <v>72.34</v>
      </c>
      <c r="J79" s="60">
        <v>7523.4</v>
      </c>
      <c r="K79" s="68">
        <v>0</v>
      </c>
      <c r="L79" s="69">
        <f t="shared" si="0"/>
        <v>72.34</v>
      </c>
      <c r="M79" s="273">
        <f t="shared" si="1"/>
        <v>0</v>
      </c>
      <c r="N79" s="71">
        <f t="shared" si="2"/>
        <v>104</v>
      </c>
      <c r="O79" s="72">
        <f t="shared" si="3"/>
        <v>72.34</v>
      </c>
      <c r="P79" s="274">
        <f t="shared" si="4"/>
        <v>7523.3600000000006</v>
      </c>
      <c r="R79" s="194">
        <f t="shared" si="5"/>
        <v>111.87</v>
      </c>
    </row>
    <row r="80" spans="2:18" s="121" customFormat="1" ht="12" customHeight="1" x14ac:dyDescent="0.2">
      <c r="B80" s="120"/>
      <c r="C80" s="56" t="s">
        <v>285</v>
      </c>
      <c r="D80" s="56" t="s">
        <v>96</v>
      </c>
      <c r="E80" s="57" t="s">
        <v>393</v>
      </c>
      <c r="F80" s="58" t="s">
        <v>394</v>
      </c>
      <c r="G80" s="59" t="s">
        <v>99</v>
      </c>
      <c r="H80" s="60">
        <v>1</v>
      </c>
      <c r="I80" s="61">
        <v>1148.19</v>
      </c>
      <c r="J80" s="60">
        <v>1148.2</v>
      </c>
      <c r="K80" s="68">
        <v>0</v>
      </c>
      <c r="L80" s="69">
        <f t="shared" ref="L80:L87" si="10">I80</f>
        <v>1148.19</v>
      </c>
      <c r="M80" s="273">
        <f t="shared" ref="M80:M87" si="11">K80*L80</f>
        <v>0</v>
      </c>
      <c r="N80" s="71">
        <f t="shared" ref="N80:N87" si="12">H80+K80</f>
        <v>1</v>
      </c>
      <c r="O80" s="72">
        <f t="shared" ref="O80:O87" si="13">I80</f>
        <v>1148.19</v>
      </c>
      <c r="P80" s="274">
        <f t="shared" ref="P80:P87" si="14">N80*O80</f>
        <v>1148.19</v>
      </c>
      <c r="Q80" s="349" t="s">
        <v>1187</v>
      </c>
      <c r="R80" s="194">
        <f t="shared" ref="R80:R87" si="15">ROUND(52/48.34*H80,2)</f>
        <v>1.08</v>
      </c>
    </row>
    <row r="81" spans="2:18" s="121" customFormat="1" ht="12" x14ac:dyDescent="0.2">
      <c r="B81" s="120"/>
      <c r="C81" s="56" t="s">
        <v>289</v>
      </c>
      <c r="D81" s="56" t="s">
        <v>96</v>
      </c>
      <c r="E81" s="57" t="s">
        <v>396</v>
      </c>
      <c r="F81" s="58" t="s">
        <v>397</v>
      </c>
      <c r="G81" s="59" t="s">
        <v>99</v>
      </c>
      <c r="H81" s="60">
        <v>1</v>
      </c>
      <c r="I81" s="61">
        <v>4465.17</v>
      </c>
      <c r="J81" s="60">
        <v>4465.2</v>
      </c>
      <c r="K81" s="68">
        <v>0</v>
      </c>
      <c r="L81" s="69">
        <f t="shared" si="10"/>
        <v>4465.17</v>
      </c>
      <c r="M81" s="273">
        <f t="shared" si="11"/>
        <v>0</v>
      </c>
      <c r="N81" s="71">
        <f t="shared" si="12"/>
        <v>1</v>
      </c>
      <c r="O81" s="72">
        <f t="shared" si="13"/>
        <v>4465.17</v>
      </c>
      <c r="P81" s="274">
        <f t="shared" si="14"/>
        <v>4465.17</v>
      </c>
      <c r="Q81" s="349"/>
      <c r="R81" s="194">
        <f t="shared" si="15"/>
        <v>1.08</v>
      </c>
    </row>
    <row r="82" spans="2:18" s="170" customFormat="1" ht="12.75" x14ac:dyDescent="0.2">
      <c r="B82" s="165"/>
      <c r="C82" s="252"/>
      <c r="D82" s="253" t="s">
        <v>4</v>
      </c>
      <c r="E82" s="254" t="s">
        <v>398</v>
      </c>
      <c r="F82" s="254" t="s">
        <v>399</v>
      </c>
      <c r="G82" s="252"/>
      <c r="H82" s="252"/>
      <c r="I82" s="255"/>
      <c r="J82" s="256">
        <f>+SUBTOTAL(9,J83:J85)</f>
        <v>21157.3</v>
      </c>
      <c r="K82" s="261"/>
      <c r="L82" s="262"/>
      <c r="M82" s="279">
        <f>SUM(M83:M85)</f>
        <v>-55.902999999999999</v>
      </c>
      <c r="N82" s="280"/>
      <c r="O82" s="262"/>
      <c r="P82" s="279">
        <f>SUM(P83:P85)</f>
        <v>21101.406500000001</v>
      </c>
      <c r="Q82" s="121"/>
      <c r="R82" s="194">
        <f t="shared" si="15"/>
        <v>0</v>
      </c>
    </row>
    <row r="83" spans="2:18" s="121" customFormat="1" ht="12" x14ac:dyDescent="0.2">
      <c r="B83" s="120"/>
      <c r="C83" s="56" t="s">
        <v>292</v>
      </c>
      <c r="D83" s="56" t="s">
        <v>96</v>
      </c>
      <c r="E83" s="57" t="s">
        <v>401</v>
      </c>
      <c r="F83" s="58" t="s">
        <v>402</v>
      </c>
      <c r="G83" s="59" t="s">
        <v>201</v>
      </c>
      <c r="H83" s="60">
        <v>53.79</v>
      </c>
      <c r="I83" s="61">
        <v>183.8</v>
      </c>
      <c r="J83" s="60">
        <v>9886.6</v>
      </c>
      <c r="K83" s="68">
        <f t="shared" ref="K83" si="16">ROUND(51.8/52*R83-R83,2)</f>
        <v>-0.22</v>
      </c>
      <c r="L83" s="69">
        <f t="shared" si="10"/>
        <v>183.8</v>
      </c>
      <c r="M83" s="273">
        <f t="shared" si="11"/>
        <v>-40.436</v>
      </c>
      <c r="N83" s="71">
        <f t="shared" si="12"/>
        <v>53.57</v>
      </c>
      <c r="O83" s="72">
        <f t="shared" si="13"/>
        <v>183.8</v>
      </c>
      <c r="P83" s="274">
        <f t="shared" si="14"/>
        <v>9846.1660000000011</v>
      </c>
      <c r="R83" s="194">
        <f t="shared" si="15"/>
        <v>57.86</v>
      </c>
    </row>
    <row r="84" spans="2:18" s="121" customFormat="1" ht="12" x14ac:dyDescent="0.2">
      <c r="B84" s="120"/>
      <c r="C84" s="56" t="s">
        <v>295</v>
      </c>
      <c r="D84" s="56" t="s">
        <v>96</v>
      </c>
      <c r="E84" s="57" t="s">
        <v>407</v>
      </c>
      <c r="F84" s="58" t="s">
        <v>408</v>
      </c>
      <c r="G84" s="59" t="s">
        <v>201</v>
      </c>
      <c r="H84" s="60">
        <v>28.62</v>
      </c>
      <c r="I84" s="61">
        <v>257.77999999999997</v>
      </c>
      <c r="J84" s="60">
        <v>7377.7</v>
      </c>
      <c r="K84" s="68">
        <v>0</v>
      </c>
      <c r="L84" s="69">
        <f t="shared" si="10"/>
        <v>257.77999999999997</v>
      </c>
      <c r="M84" s="273">
        <f t="shared" si="11"/>
        <v>0</v>
      </c>
      <c r="N84" s="71">
        <f t="shared" si="12"/>
        <v>28.62</v>
      </c>
      <c r="O84" s="72">
        <f t="shared" si="13"/>
        <v>257.77999999999997</v>
      </c>
      <c r="P84" s="274">
        <f t="shared" si="14"/>
        <v>7377.6635999999999</v>
      </c>
      <c r="R84" s="194">
        <f t="shared" si="15"/>
        <v>30.79</v>
      </c>
    </row>
    <row r="85" spans="2:18" s="121" customFormat="1" ht="12" x14ac:dyDescent="0.2">
      <c r="B85" s="120"/>
      <c r="C85" s="56" t="s">
        <v>298</v>
      </c>
      <c r="D85" s="56" t="s">
        <v>96</v>
      </c>
      <c r="E85" s="57" t="s">
        <v>410</v>
      </c>
      <c r="F85" s="58" t="s">
        <v>411</v>
      </c>
      <c r="G85" s="59" t="s">
        <v>201</v>
      </c>
      <c r="H85" s="60">
        <v>25.17</v>
      </c>
      <c r="I85" s="61">
        <v>154.66999999999999</v>
      </c>
      <c r="J85" s="60">
        <v>3893</v>
      </c>
      <c r="K85" s="68">
        <f t="shared" ref="K85" si="17">ROUND(51.8/52*R85-R85,2)</f>
        <v>-0.1</v>
      </c>
      <c r="L85" s="69">
        <f t="shared" si="10"/>
        <v>154.66999999999999</v>
      </c>
      <c r="M85" s="273">
        <f t="shared" si="11"/>
        <v>-15.466999999999999</v>
      </c>
      <c r="N85" s="71">
        <f t="shared" si="12"/>
        <v>25.07</v>
      </c>
      <c r="O85" s="72">
        <f t="shared" si="13"/>
        <v>154.66999999999999</v>
      </c>
      <c r="P85" s="274">
        <f t="shared" si="14"/>
        <v>3877.5768999999996</v>
      </c>
      <c r="R85" s="194">
        <f t="shared" si="15"/>
        <v>27.08</v>
      </c>
    </row>
    <row r="86" spans="2:18" s="170" customFormat="1" ht="12.75" x14ac:dyDescent="0.2">
      <c r="B86" s="165"/>
      <c r="C86" s="252"/>
      <c r="D86" s="253" t="s">
        <v>4</v>
      </c>
      <c r="E86" s="254" t="s">
        <v>412</v>
      </c>
      <c r="F86" s="254" t="s">
        <v>413</v>
      </c>
      <c r="G86" s="252"/>
      <c r="H86" s="252"/>
      <c r="I86" s="255"/>
      <c r="J86" s="256">
        <f>+SUBTOTAL(9,J87)</f>
        <v>16265.9</v>
      </c>
      <c r="K86" s="261"/>
      <c r="L86" s="262"/>
      <c r="M86" s="279">
        <f>M87</f>
        <v>-67.507800000000003</v>
      </c>
      <c r="N86" s="280"/>
      <c r="O86" s="262"/>
      <c r="P86" s="279">
        <f>P87</f>
        <v>16198.439399999999</v>
      </c>
      <c r="Q86" s="121"/>
      <c r="R86" s="194">
        <f t="shared" si="15"/>
        <v>0</v>
      </c>
    </row>
    <row r="87" spans="2:18" s="121" customFormat="1" ht="12" x14ac:dyDescent="0.2">
      <c r="B87" s="120"/>
      <c r="C87" s="56" t="s">
        <v>301</v>
      </c>
      <c r="D87" s="56" t="s">
        <v>96</v>
      </c>
      <c r="E87" s="57" t="s">
        <v>415</v>
      </c>
      <c r="F87" s="58" t="s">
        <v>416</v>
      </c>
      <c r="G87" s="59" t="s">
        <v>201</v>
      </c>
      <c r="H87" s="60">
        <v>142.16</v>
      </c>
      <c r="I87" s="61">
        <v>114.42</v>
      </c>
      <c r="J87" s="60">
        <v>16265.9</v>
      </c>
      <c r="K87" s="68">
        <f t="shared" ref="K87" si="18">ROUND(51.8/52*R87-R87,2)</f>
        <v>-0.59</v>
      </c>
      <c r="L87" s="69">
        <f t="shared" si="10"/>
        <v>114.42</v>
      </c>
      <c r="M87" s="273">
        <f t="shared" si="11"/>
        <v>-67.507800000000003</v>
      </c>
      <c r="N87" s="71">
        <f t="shared" si="12"/>
        <v>141.57</v>
      </c>
      <c r="O87" s="72">
        <f t="shared" si="13"/>
        <v>114.42</v>
      </c>
      <c r="P87" s="274">
        <f t="shared" si="14"/>
        <v>16198.439399999999</v>
      </c>
      <c r="R87" s="194">
        <f t="shared" si="15"/>
        <v>152.91999999999999</v>
      </c>
    </row>
    <row r="88" spans="2:18" s="121" customFormat="1" x14ac:dyDescent="0.2">
      <c r="B88" s="120"/>
      <c r="C88" s="120"/>
      <c r="D88" s="120"/>
      <c r="E88" s="120"/>
      <c r="F88" s="120"/>
      <c r="G88" s="120"/>
      <c r="H88" s="120"/>
      <c r="I88" s="153"/>
      <c r="J88" s="120"/>
    </row>
    <row r="89" spans="2:18" ht="12.75" x14ac:dyDescent="0.2">
      <c r="D89" s="42"/>
      <c r="E89" s="43" t="s">
        <v>904</v>
      </c>
      <c r="F89" s="44"/>
      <c r="G89" s="44"/>
      <c r="H89" s="45"/>
      <c r="I89" s="44"/>
      <c r="J89" s="46">
        <f>ROUND(SUBTOTAL(9,J12:J87),2)</f>
        <v>544851.5</v>
      </c>
      <c r="K89" s="49"/>
      <c r="L89" s="46"/>
      <c r="M89" s="281">
        <f>M86+M82+M77+M51+M45+M38+M35+M14</f>
        <v>-1241.0095999999999</v>
      </c>
      <c r="N89" s="49"/>
      <c r="O89" s="46"/>
      <c r="P89" s="281">
        <f>P86+P82+P77+P51+P45+P38+P35+P14</f>
        <v>543610.6237</v>
      </c>
    </row>
    <row r="90" spans="2:18" ht="12.75" x14ac:dyDescent="0.2">
      <c r="H90" s="50"/>
      <c r="I90" s="8"/>
      <c r="J90" s="9"/>
    </row>
    <row r="91" spans="2:18" ht="14.25" x14ac:dyDescent="0.2">
      <c r="E91" s="6" t="s">
        <v>849</v>
      </c>
      <c r="F91" s="6"/>
      <c r="G91" s="320" t="s">
        <v>1224</v>
      </c>
      <c r="H91" s="50"/>
      <c r="I91" s="8"/>
      <c r="J91" s="6"/>
      <c r="K91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87" xr:uid="{00000000-0001-0000-1D00-000000000000}"/>
  <mergeCells count="4">
    <mergeCell ref="K9:M9"/>
    <mergeCell ref="N9:P9"/>
    <mergeCell ref="Q13:Q14"/>
    <mergeCell ref="Q80:Q81"/>
  </mergeCells>
  <conditionalFormatting sqref="G91:I91 L91:P91">
    <cfRule type="cellIs" dxfId="346" priority="4" operator="lessThan">
      <formula>0</formula>
    </cfRule>
  </conditionalFormatting>
  <conditionalFormatting sqref="G91:I91 L91:M91">
    <cfRule type="cellIs" dxfId="345" priority="3" operator="lessThan">
      <formula>0</formula>
    </cfRule>
  </conditionalFormatting>
  <conditionalFormatting sqref="G91:I91">
    <cfRule type="cellIs" dxfId="344" priority="2" operator="lessThan">
      <formula>0</formula>
    </cfRule>
  </conditionalFormatting>
  <conditionalFormatting sqref="G91:I91">
    <cfRule type="cellIs" dxfId="343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4" fitToHeight="0" orientation="landscape" r:id="rId1"/>
  <headerFooter>
    <oddFooter>&amp;CStrana &amp;P z &amp;N</oddFooter>
  </headerFooter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B1:T84"/>
  <sheetViews>
    <sheetView showGridLines="0" view="pageBreakPreview" topLeftCell="A57" zoomScale="85" zoomScaleNormal="85" zoomScaleSheetLayoutView="85" workbookViewId="0">
      <selection activeCell="J75" sqref="J75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11" style="8" customWidth="1"/>
    <col min="12" max="12" width="20.1640625" style="8" bestFit="1" customWidth="1"/>
    <col min="13" max="13" width="16.5" style="8" customWidth="1"/>
    <col min="14" max="14" width="9.33203125" style="8"/>
    <col min="15" max="15" width="18.6640625" style="8" bestFit="1" customWidth="1"/>
    <col min="16" max="16" width="21" style="8" bestFit="1" customWidth="1"/>
    <col min="17" max="17" width="27.1640625" style="8" customWidth="1"/>
    <col min="18" max="18" width="48.5" style="8" customWidth="1"/>
    <col min="19" max="19" width="16.83203125" style="8" customWidth="1"/>
    <col min="20" max="16384" width="9.33203125" style="8"/>
  </cols>
  <sheetData>
    <row r="1" spans="2:20" ht="18.95" customHeight="1" x14ac:dyDescent="0.2">
      <c r="F1" s="11"/>
      <c r="G1" s="89"/>
      <c r="H1" s="88"/>
      <c r="I1" s="8"/>
      <c r="J1" s="9"/>
    </row>
    <row r="2" spans="2:20" s="88" customFormat="1" ht="18" customHeight="1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20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20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20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20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20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20" s="14" customFormat="1" ht="18" customHeight="1" x14ac:dyDescent="0.2">
      <c r="D8" s="146"/>
      <c r="F8" s="11"/>
      <c r="G8" s="105"/>
      <c r="H8" s="145"/>
      <c r="K8" s="149" t="s">
        <v>851</v>
      </c>
      <c r="L8" s="180" t="str">
        <f>+C12</f>
        <v>D - Stoka D</v>
      </c>
      <c r="M8" s="180"/>
      <c r="O8" s="151"/>
    </row>
    <row r="9" spans="2:20" s="15" customFormat="1" ht="20.100000000000001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</row>
    <row r="10" spans="2:20" s="15" customFormat="1" ht="24" customHeight="1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</row>
    <row r="11" spans="2:20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20" s="121" customFormat="1" ht="22.9" customHeight="1" x14ac:dyDescent="0.25">
      <c r="B12" s="120"/>
      <c r="C12" s="152" t="s">
        <v>502</v>
      </c>
      <c r="D12" s="120"/>
      <c r="E12" s="120"/>
      <c r="F12" s="120"/>
      <c r="G12" s="120"/>
      <c r="H12" s="120"/>
      <c r="I12" s="153"/>
      <c r="J12" s="154">
        <f>+SUBTOTAL(9,J13:J80)</f>
        <v>1232518.9000000001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  <c r="R12" s="185"/>
      <c r="S12" s="185"/>
      <c r="T12" s="185"/>
    </row>
    <row r="13" spans="2:20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+SUBTOTAL(9,J14:J80)</f>
        <v>1232518.9000000001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  <c r="R13" s="187"/>
      <c r="S13" s="187"/>
      <c r="T13" s="187"/>
    </row>
    <row r="14" spans="2:20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+SUBTOTAL(9,J15:J33)</f>
        <v>593553.20000000007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SUM(M15:M33)</f>
        <v>-1394.9219000000001</v>
      </c>
      <c r="N14" s="278" t="str">
        <f>IF(ISBLANK(H14),"",H14-K14)</f>
        <v/>
      </c>
      <c r="O14" s="272" t="str">
        <f>IF(ISBLANK(H14),"",J14-L14)</f>
        <v/>
      </c>
      <c r="P14" s="272">
        <f>SUM(P15:P33)</f>
        <v>592158.02639999997</v>
      </c>
      <c r="Q14" s="218" t="s">
        <v>1216</v>
      </c>
      <c r="R14" s="187"/>
      <c r="S14" s="187"/>
      <c r="T14" s="187"/>
    </row>
    <row r="15" spans="2:20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13.4</v>
      </c>
      <c r="I15" s="61">
        <v>40.770000000000003</v>
      </c>
      <c r="J15" s="60">
        <v>546.29999999999995</v>
      </c>
      <c r="K15" s="68">
        <f>ROUND(177.6/178*Q15-Q15,2)</f>
        <v>-0.03</v>
      </c>
      <c r="L15" s="69">
        <f>I15</f>
        <v>40.770000000000003</v>
      </c>
      <c r="M15" s="273">
        <f>K15*L15</f>
        <v>-1.2231000000000001</v>
      </c>
      <c r="N15" s="71">
        <f>H15+K15</f>
        <v>13.370000000000001</v>
      </c>
      <c r="O15" s="72">
        <f>I15</f>
        <v>40.770000000000003</v>
      </c>
      <c r="P15" s="274">
        <f>N15*O15</f>
        <v>545.09490000000005</v>
      </c>
      <c r="Q15" s="121">
        <f>ROUND(178/169.48*H15,2)</f>
        <v>14.07</v>
      </c>
      <c r="R15" s="185"/>
      <c r="S15" s="185"/>
      <c r="T15" s="185"/>
    </row>
    <row r="16" spans="2:20" s="121" customFormat="1" ht="16.5" customHeight="1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25.58</v>
      </c>
      <c r="I16" s="61">
        <v>55.24</v>
      </c>
      <c r="J16" s="60">
        <v>1413</v>
      </c>
      <c r="K16" s="68">
        <v>0</v>
      </c>
      <c r="L16" s="69">
        <f t="shared" ref="L16:L78" si="0">I16</f>
        <v>55.24</v>
      </c>
      <c r="M16" s="273">
        <f t="shared" ref="M16:M78" si="1">K16*L16</f>
        <v>0</v>
      </c>
      <c r="N16" s="71">
        <f t="shared" ref="N16:N78" si="2">H16+K16</f>
        <v>25.58</v>
      </c>
      <c r="O16" s="72">
        <f t="shared" ref="O16:O78" si="3">I16</f>
        <v>55.24</v>
      </c>
      <c r="P16" s="274">
        <f t="shared" ref="P16:P78" si="4">N16*O16</f>
        <v>1413.0391999999999</v>
      </c>
      <c r="Q16" s="121">
        <f t="shared" ref="Q16:Q79" si="5">ROUND(178/169.48*H16,2)</f>
        <v>26.87</v>
      </c>
      <c r="R16" s="185"/>
      <c r="S16" s="185"/>
      <c r="T16" s="185"/>
    </row>
    <row r="17" spans="2:20" s="121" customFormat="1" ht="16.5" customHeight="1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13.4</v>
      </c>
      <c r="I17" s="61">
        <v>151.25</v>
      </c>
      <c r="J17" s="60">
        <v>2026.8</v>
      </c>
      <c r="K17" s="68">
        <v>0</v>
      </c>
      <c r="L17" s="69">
        <f t="shared" si="0"/>
        <v>151.25</v>
      </c>
      <c r="M17" s="273">
        <f t="shared" si="1"/>
        <v>0</v>
      </c>
      <c r="N17" s="71">
        <f t="shared" si="2"/>
        <v>13.4</v>
      </c>
      <c r="O17" s="72">
        <f t="shared" si="3"/>
        <v>151.25</v>
      </c>
      <c r="P17" s="274">
        <f t="shared" si="4"/>
        <v>2026.75</v>
      </c>
      <c r="Q17" s="121">
        <f t="shared" si="5"/>
        <v>14.07</v>
      </c>
      <c r="R17" s="185" t="s">
        <v>917</v>
      </c>
      <c r="S17" s="185"/>
      <c r="T17" s="185"/>
    </row>
    <row r="18" spans="2:20" s="121" customFormat="1" ht="16.5" customHeight="1" x14ac:dyDescent="0.2">
      <c r="B18" s="120"/>
      <c r="C18" s="56" t="s">
        <v>105</v>
      </c>
      <c r="D18" s="56" t="s">
        <v>96</v>
      </c>
      <c r="E18" s="57" t="s">
        <v>148</v>
      </c>
      <c r="F18" s="58" t="s">
        <v>149</v>
      </c>
      <c r="G18" s="59" t="s">
        <v>150</v>
      </c>
      <c r="H18" s="60">
        <v>72.930000000000007</v>
      </c>
      <c r="I18" s="61">
        <v>38.14</v>
      </c>
      <c r="J18" s="60">
        <v>2781.6</v>
      </c>
      <c r="K18" s="68">
        <f t="shared" ref="K18:K36" si="6">ROUND(177.6/178*Q18-Q18,2)</f>
        <v>-0.17</v>
      </c>
      <c r="L18" s="69">
        <f t="shared" si="0"/>
        <v>38.14</v>
      </c>
      <c r="M18" s="273">
        <f t="shared" si="1"/>
        <v>-6.4838000000000005</v>
      </c>
      <c r="N18" s="71">
        <f t="shared" si="2"/>
        <v>72.760000000000005</v>
      </c>
      <c r="O18" s="72">
        <f t="shared" si="3"/>
        <v>38.14</v>
      </c>
      <c r="P18" s="274">
        <f t="shared" si="4"/>
        <v>2775.0664000000002</v>
      </c>
      <c r="Q18" s="121">
        <f t="shared" si="5"/>
        <v>76.599999999999994</v>
      </c>
      <c r="R18" s="185"/>
      <c r="S18" s="185"/>
      <c r="T18" s="185"/>
    </row>
    <row r="19" spans="2:20" s="121" customFormat="1" ht="16.5" customHeight="1" x14ac:dyDescent="0.2">
      <c r="B19" s="120"/>
      <c r="C19" s="56" t="s">
        <v>109</v>
      </c>
      <c r="D19" s="56" t="s">
        <v>96</v>
      </c>
      <c r="E19" s="57" t="s">
        <v>157</v>
      </c>
      <c r="F19" s="58" t="s">
        <v>158</v>
      </c>
      <c r="G19" s="59" t="s">
        <v>150</v>
      </c>
      <c r="H19" s="60">
        <v>287.48</v>
      </c>
      <c r="I19" s="61">
        <v>257.77999999999997</v>
      </c>
      <c r="J19" s="60">
        <v>74106.600000000006</v>
      </c>
      <c r="K19" s="68">
        <f t="shared" si="6"/>
        <v>-0.68</v>
      </c>
      <c r="L19" s="69">
        <f t="shared" si="0"/>
        <v>257.77999999999997</v>
      </c>
      <c r="M19" s="273">
        <f t="shared" si="1"/>
        <v>-175.29040000000001</v>
      </c>
      <c r="N19" s="71">
        <f t="shared" si="2"/>
        <v>286.8</v>
      </c>
      <c r="O19" s="72">
        <f t="shared" si="3"/>
        <v>257.77999999999997</v>
      </c>
      <c r="P19" s="274">
        <f t="shared" si="4"/>
        <v>73931.303999999989</v>
      </c>
      <c r="Q19" s="121">
        <f t="shared" si="5"/>
        <v>301.93</v>
      </c>
      <c r="R19" s="185"/>
      <c r="S19" s="185"/>
      <c r="T19" s="185"/>
    </row>
    <row r="20" spans="2:20" s="121" customFormat="1" ht="16.5" customHeight="1" x14ac:dyDescent="0.2">
      <c r="B20" s="120"/>
      <c r="C20" s="56" t="s">
        <v>112</v>
      </c>
      <c r="D20" s="56" t="s">
        <v>96</v>
      </c>
      <c r="E20" s="57" t="s">
        <v>160</v>
      </c>
      <c r="F20" s="58" t="s">
        <v>161</v>
      </c>
      <c r="G20" s="59" t="s">
        <v>150</v>
      </c>
      <c r="H20" s="60">
        <v>86.24</v>
      </c>
      <c r="I20" s="61">
        <v>13.15</v>
      </c>
      <c r="J20" s="60">
        <v>1134.0999999999999</v>
      </c>
      <c r="K20" s="68">
        <f t="shared" si="6"/>
        <v>-0.2</v>
      </c>
      <c r="L20" s="69">
        <f t="shared" si="0"/>
        <v>13.15</v>
      </c>
      <c r="M20" s="273">
        <f t="shared" si="1"/>
        <v>-2.6300000000000003</v>
      </c>
      <c r="N20" s="71">
        <f t="shared" si="2"/>
        <v>86.039999999999992</v>
      </c>
      <c r="O20" s="72">
        <f t="shared" si="3"/>
        <v>13.15</v>
      </c>
      <c r="P20" s="274">
        <f t="shared" si="4"/>
        <v>1131.4259999999999</v>
      </c>
      <c r="Q20" s="121">
        <f t="shared" si="5"/>
        <v>90.58</v>
      </c>
      <c r="R20" s="185"/>
      <c r="S20" s="185"/>
      <c r="T20" s="185"/>
    </row>
    <row r="21" spans="2:20" s="121" customFormat="1" ht="16.5" customHeight="1" x14ac:dyDescent="0.2">
      <c r="B21" s="120"/>
      <c r="C21" s="56" t="s">
        <v>115</v>
      </c>
      <c r="D21" s="56" t="s">
        <v>96</v>
      </c>
      <c r="E21" s="57" t="s">
        <v>163</v>
      </c>
      <c r="F21" s="58" t="s">
        <v>164</v>
      </c>
      <c r="G21" s="59" t="s">
        <v>150</v>
      </c>
      <c r="H21" s="60">
        <v>127.95</v>
      </c>
      <c r="I21" s="61">
        <v>315.64999999999998</v>
      </c>
      <c r="J21" s="60">
        <v>40387.4</v>
      </c>
      <c r="K21" s="68">
        <f t="shared" si="6"/>
        <v>-0.3</v>
      </c>
      <c r="L21" s="69">
        <f t="shared" si="0"/>
        <v>315.64999999999998</v>
      </c>
      <c r="M21" s="273">
        <f t="shared" si="1"/>
        <v>-94.694999999999993</v>
      </c>
      <c r="N21" s="71">
        <f t="shared" si="2"/>
        <v>127.65</v>
      </c>
      <c r="O21" s="72">
        <f t="shared" si="3"/>
        <v>315.64999999999998</v>
      </c>
      <c r="P21" s="274">
        <f t="shared" si="4"/>
        <v>40292.722499999996</v>
      </c>
      <c r="Q21" s="121">
        <f t="shared" si="5"/>
        <v>134.38</v>
      </c>
      <c r="R21" s="185"/>
      <c r="S21" s="185"/>
      <c r="T21" s="185"/>
    </row>
    <row r="22" spans="2:20" s="121" customFormat="1" ht="16.5" customHeight="1" x14ac:dyDescent="0.2">
      <c r="B22" s="120"/>
      <c r="C22" s="56" t="s">
        <v>118</v>
      </c>
      <c r="D22" s="56" t="s">
        <v>96</v>
      </c>
      <c r="E22" s="57" t="s">
        <v>166</v>
      </c>
      <c r="F22" s="58" t="s">
        <v>167</v>
      </c>
      <c r="G22" s="59" t="s">
        <v>150</v>
      </c>
      <c r="H22" s="60">
        <v>38.39</v>
      </c>
      <c r="I22" s="61">
        <v>15.78</v>
      </c>
      <c r="J22" s="60">
        <v>605.79999999999995</v>
      </c>
      <c r="K22" s="68">
        <f t="shared" si="6"/>
        <v>-0.09</v>
      </c>
      <c r="L22" s="69">
        <f t="shared" si="0"/>
        <v>15.78</v>
      </c>
      <c r="M22" s="273">
        <f t="shared" si="1"/>
        <v>-1.4201999999999999</v>
      </c>
      <c r="N22" s="71">
        <f t="shared" si="2"/>
        <v>38.299999999999997</v>
      </c>
      <c r="O22" s="72">
        <f t="shared" si="3"/>
        <v>15.78</v>
      </c>
      <c r="P22" s="274">
        <f t="shared" si="4"/>
        <v>604.37399999999991</v>
      </c>
      <c r="Q22" s="121">
        <f t="shared" si="5"/>
        <v>40.32</v>
      </c>
      <c r="R22" s="185"/>
      <c r="S22" s="185"/>
      <c r="T22" s="185"/>
    </row>
    <row r="23" spans="2:20" s="121" customFormat="1" ht="16.5" customHeight="1" x14ac:dyDescent="0.2">
      <c r="B23" s="120"/>
      <c r="C23" s="56" t="s">
        <v>121</v>
      </c>
      <c r="D23" s="56" t="s">
        <v>96</v>
      </c>
      <c r="E23" s="57" t="s">
        <v>175</v>
      </c>
      <c r="F23" s="58" t="s">
        <v>176</v>
      </c>
      <c r="G23" s="59" t="s">
        <v>108</v>
      </c>
      <c r="H23" s="60">
        <v>841.21</v>
      </c>
      <c r="I23" s="61">
        <v>99.96</v>
      </c>
      <c r="J23" s="60">
        <v>84087.4</v>
      </c>
      <c r="K23" s="68">
        <f t="shared" si="6"/>
        <v>-1.99</v>
      </c>
      <c r="L23" s="69">
        <f t="shared" si="0"/>
        <v>99.96</v>
      </c>
      <c r="M23" s="273">
        <f t="shared" si="1"/>
        <v>-198.9204</v>
      </c>
      <c r="N23" s="71">
        <f t="shared" si="2"/>
        <v>839.22</v>
      </c>
      <c r="O23" s="72">
        <f t="shared" si="3"/>
        <v>99.96</v>
      </c>
      <c r="P23" s="274">
        <f t="shared" si="4"/>
        <v>83888.431199999992</v>
      </c>
      <c r="Q23" s="121">
        <f t="shared" si="5"/>
        <v>883.5</v>
      </c>
      <c r="S23" s="185" t="s">
        <v>921</v>
      </c>
      <c r="T23" s="185"/>
    </row>
    <row r="24" spans="2:20" s="121" customFormat="1" ht="16.5" customHeight="1" x14ac:dyDescent="0.2">
      <c r="B24" s="120"/>
      <c r="C24" s="56" t="s">
        <v>124</v>
      </c>
      <c r="D24" s="56" t="s">
        <v>96</v>
      </c>
      <c r="E24" s="57" t="s">
        <v>181</v>
      </c>
      <c r="F24" s="58" t="s">
        <v>182</v>
      </c>
      <c r="G24" s="59" t="s">
        <v>108</v>
      </c>
      <c r="H24" s="60">
        <v>841.21</v>
      </c>
      <c r="I24" s="61">
        <v>149.94</v>
      </c>
      <c r="J24" s="60">
        <v>126131</v>
      </c>
      <c r="K24" s="68">
        <f t="shared" si="6"/>
        <v>-1.99</v>
      </c>
      <c r="L24" s="69">
        <f t="shared" si="0"/>
        <v>149.94</v>
      </c>
      <c r="M24" s="273">
        <f t="shared" si="1"/>
        <v>-298.38060000000002</v>
      </c>
      <c r="N24" s="71">
        <f t="shared" si="2"/>
        <v>839.22</v>
      </c>
      <c r="O24" s="72">
        <f t="shared" si="3"/>
        <v>149.94</v>
      </c>
      <c r="P24" s="274">
        <f t="shared" si="4"/>
        <v>125832.6468</v>
      </c>
      <c r="Q24" s="121">
        <f t="shared" si="5"/>
        <v>883.5</v>
      </c>
      <c r="S24" s="185" t="s">
        <v>921</v>
      </c>
      <c r="T24" s="185"/>
    </row>
    <row r="25" spans="2:20" s="121" customFormat="1" ht="16.5" customHeight="1" x14ac:dyDescent="0.2">
      <c r="B25" s="120"/>
      <c r="C25" s="56" t="s">
        <v>127</v>
      </c>
      <c r="D25" s="56" t="s">
        <v>96</v>
      </c>
      <c r="E25" s="57" t="s">
        <v>187</v>
      </c>
      <c r="F25" s="58" t="s">
        <v>188</v>
      </c>
      <c r="G25" s="59" t="s">
        <v>150</v>
      </c>
      <c r="H25" s="60">
        <v>680.79</v>
      </c>
      <c r="I25" s="61">
        <v>97.66</v>
      </c>
      <c r="J25" s="60">
        <v>66486</v>
      </c>
      <c r="K25" s="68">
        <f t="shared" si="6"/>
        <v>-1.61</v>
      </c>
      <c r="L25" s="69">
        <f t="shared" si="0"/>
        <v>97.66</v>
      </c>
      <c r="M25" s="273">
        <f t="shared" si="1"/>
        <v>-157.23259999999999</v>
      </c>
      <c r="N25" s="71">
        <f t="shared" si="2"/>
        <v>679.18</v>
      </c>
      <c r="O25" s="72">
        <f t="shared" si="3"/>
        <v>97.66</v>
      </c>
      <c r="P25" s="274">
        <f t="shared" si="4"/>
        <v>66328.718799999988</v>
      </c>
      <c r="Q25" s="121">
        <f t="shared" si="5"/>
        <v>715.01</v>
      </c>
      <c r="R25" s="185"/>
      <c r="S25" s="185"/>
      <c r="T25" s="185"/>
    </row>
    <row r="26" spans="2:20" s="121" customFormat="1" ht="16.5" customHeight="1" x14ac:dyDescent="0.2">
      <c r="B26" s="120"/>
      <c r="C26" s="56" t="s">
        <v>130</v>
      </c>
      <c r="D26" s="56" t="s">
        <v>96</v>
      </c>
      <c r="E26" s="57" t="s">
        <v>190</v>
      </c>
      <c r="F26" s="58" t="s">
        <v>191</v>
      </c>
      <c r="G26" s="59" t="s">
        <v>150</v>
      </c>
      <c r="H26" s="60">
        <v>149.06</v>
      </c>
      <c r="I26" s="61">
        <v>247.39</v>
      </c>
      <c r="J26" s="60">
        <v>36876</v>
      </c>
      <c r="K26" s="68">
        <f t="shared" si="6"/>
        <v>-0.35</v>
      </c>
      <c r="L26" s="69">
        <f t="shared" si="0"/>
        <v>247.39</v>
      </c>
      <c r="M26" s="273">
        <f t="shared" si="1"/>
        <v>-86.586499999999987</v>
      </c>
      <c r="N26" s="71">
        <f t="shared" si="2"/>
        <v>148.71</v>
      </c>
      <c r="O26" s="72">
        <f t="shared" si="3"/>
        <v>247.39</v>
      </c>
      <c r="P26" s="274">
        <f t="shared" si="4"/>
        <v>36789.366900000001</v>
      </c>
      <c r="Q26" s="121">
        <f t="shared" si="5"/>
        <v>156.55000000000001</v>
      </c>
      <c r="R26" s="185"/>
      <c r="S26" s="185"/>
      <c r="T26" s="185"/>
    </row>
    <row r="27" spans="2:20" s="121" customFormat="1" ht="16.5" customHeight="1" x14ac:dyDescent="0.2">
      <c r="B27" s="120"/>
      <c r="C27" s="56" t="s">
        <v>134</v>
      </c>
      <c r="D27" s="56" t="s">
        <v>96</v>
      </c>
      <c r="E27" s="57" t="s">
        <v>193</v>
      </c>
      <c r="F27" s="58" t="s">
        <v>194</v>
      </c>
      <c r="G27" s="59" t="s">
        <v>150</v>
      </c>
      <c r="H27" s="60">
        <v>149.06</v>
      </c>
      <c r="I27" s="61">
        <v>44.72</v>
      </c>
      <c r="J27" s="60">
        <v>6666</v>
      </c>
      <c r="K27" s="68">
        <f t="shared" si="6"/>
        <v>-0.35</v>
      </c>
      <c r="L27" s="69">
        <f t="shared" si="0"/>
        <v>44.72</v>
      </c>
      <c r="M27" s="273">
        <f t="shared" si="1"/>
        <v>-15.651999999999999</v>
      </c>
      <c r="N27" s="71">
        <f t="shared" si="2"/>
        <v>148.71</v>
      </c>
      <c r="O27" s="72">
        <f t="shared" si="3"/>
        <v>44.72</v>
      </c>
      <c r="P27" s="274">
        <f t="shared" si="4"/>
        <v>6650.3112000000001</v>
      </c>
      <c r="Q27" s="121">
        <f t="shared" si="5"/>
        <v>156.55000000000001</v>
      </c>
      <c r="R27" s="185"/>
      <c r="S27" s="185"/>
      <c r="T27" s="185"/>
    </row>
    <row r="28" spans="2:20" s="121" customFormat="1" ht="16.5" customHeight="1" x14ac:dyDescent="0.2">
      <c r="B28" s="120"/>
      <c r="C28" s="56" t="s">
        <v>2</v>
      </c>
      <c r="D28" s="56" t="s">
        <v>96</v>
      </c>
      <c r="E28" s="57" t="s">
        <v>196</v>
      </c>
      <c r="F28" s="58" t="s">
        <v>197</v>
      </c>
      <c r="G28" s="59" t="s">
        <v>150</v>
      </c>
      <c r="H28" s="60">
        <v>149.06</v>
      </c>
      <c r="I28" s="61">
        <v>11.84</v>
      </c>
      <c r="J28" s="60">
        <v>1764.9</v>
      </c>
      <c r="K28" s="68">
        <f t="shared" si="6"/>
        <v>-0.35</v>
      </c>
      <c r="L28" s="69">
        <f t="shared" si="0"/>
        <v>11.84</v>
      </c>
      <c r="M28" s="273">
        <f t="shared" si="1"/>
        <v>-4.1440000000000001</v>
      </c>
      <c r="N28" s="71">
        <f t="shared" si="2"/>
        <v>148.71</v>
      </c>
      <c r="O28" s="72">
        <f t="shared" si="3"/>
        <v>11.84</v>
      </c>
      <c r="P28" s="274">
        <f t="shared" si="4"/>
        <v>1760.7264</v>
      </c>
      <c r="Q28" s="121">
        <f t="shared" si="5"/>
        <v>156.55000000000001</v>
      </c>
      <c r="R28" s="185"/>
      <c r="S28" s="185"/>
      <c r="T28" s="185"/>
    </row>
    <row r="29" spans="2:20" s="121" customFormat="1" ht="16.5" customHeight="1" x14ac:dyDescent="0.2">
      <c r="B29" s="120"/>
      <c r="C29" s="56" t="s">
        <v>141</v>
      </c>
      <c r="D29" s="56" t="s">
        <v>96</v>
      </c>
      <c r="E29" s="57" t="s">
        <v>199</v>
      </c>
      <c r="F29" s="58" t="s">
        <v>200</v>
      </c>
      <c r="G29" s="59" t="s">
        <v>201</v>
      </c>
      <c r="H29" s="60">
        <v>298.12</v>
      </c>
      <c r="I29" s="61">
        <v>116</v>
      </c>
      <c r="J29" s="60">
        <v>34581.9</v>
      </c>
      <c r="K29" s="68">
        <f t="shared" si="6"/>
        <v>-0.7</v>
      </c>
      <c r="L29" s="69">
        <f t="shared" si="0"/>
        <v>116</v>
      </c>
      <c r="M29" s="273">
        <f t="shared" si="1"/>
        <v>-81.199999999999989</v>
      </c>
      <c r="N29" s="71">
        <f t="shared" si="2"/>
        <v>297.42</v>
      </c>
      <c r="O29" s="72">
        <f t="shared" si="3"/>
        <v>116</v>
      </c>
      <c r="P29" s="274">
        <f t="shared" si="4"/>
        <v>34500.720000000001</v>
      </c>
      <c r="Q29" s="121">
        <f t="shared" si="5"/>
        <v>313.11</v>
      </c>
      <c r="R29" s="185"/>
      <c r="S29" s="185"/>
      <c r="T29" s="185"/>
    </row>
    <row r="30" spans="2:20" s="121" customFormat="1" ht="16.5" customHeight="1" x14ac:dyDescent="0.2">
      <c r="B30" s="120"/>
      <c r="C30" s="56" t="s">
        <v>144</v>
      </c>
      <c r="D30" s="56" t="s">
        <v>96</v>
      </c>
      <c r="E30" s="57" t="s">
        <v>203</v>
      </c>
      <c r="F30" s="58" t="s">
        <v>204</v>
      </c>
      <c r="G30" s="59" t="s">
        <v>150</v>
      </c>
      <c r="H30" s="60">
        <v>265.36</v>
      </c>
      <c r="I30" s="61">
        <v>143.36000000000001</v>
      </c>
      <c r="J30" s="60">
        <v>38042</v>
      </c>
      <c r="K30" s="68">
        <f t="shared" si="6"/>
        <v>-0.63</v>
      </c>
      <c r="L30" s="69">
        <f t="shared" si="0"/>
        <v>143.36000000000001</v>
      </c>
      <c r="M30" s="273">
        <f t="shared" si="1"/>
        <v>-90.316800000000015</v>
      </c>
      <c r="N30" s="71">
        <f t="shared" si="2"/>
        <v>264.73</v>
      </c>
      <c r="O30" s="72">
        <f t="shared" si="3"/>
        <v>143.36000000000001</v>
      </c>
      <c r="P30" s="274">
        <f t="shared" si="4"/>
        <v>37951.692800000004</v>
      </c>
      <c r="Q30" s="121">
        <f t="shared" si="5"/>
        <v>278.7</v>
      </c>
      <c r="R30" s="185"/>
      <c r="S30" s="185"/>
      <c r="T30" s="185"/>
    </row>
    <row r="31" spans="2:20" s="121" customFormat="1" ht="16.5" customHeight="1" x14ac:dyDescent="0.2">
      <c r="B31" s="120"/>
      <c r="C31" s="56" t="s">
        <v>147</v>
      </c>
      <c r="D31" s="56" t="s">
        <v>96</v>
      </c>
      <c r="E31" s="57" t="s">
        <v>206</v>
      </c>
      <c r="F31" s="58" t="s">
        <v>207</v>
      </c>
      <c r="G31" s="59" t="s">
        <v>150</v>
      </c>
      <c r="H31" s="60">
        <v>99.57</v>
      </c>
      <c r="I31" s="61">
        <v>318.27999999999997</v>
      </c>
      <c r="J31" s="60">
        <v>31691.1</v>
      </c>
      <c r="K31" s="68">
        <f t="shared" si="6"/>
        <v>-0.24</v>
      </c>
      <c r="L31" s="69">
        <f t="shared" si="0"/>
        <v>318.27999999999997</v>
      </c>
      <c r="M31" s="273">
        <f t="shared" si="1"/>
        <v>-76.387199999999993</v>
      </c>
      <c r="N31" s="71">
        <f t="shared" si="2"/>
        <v>99.33</v>
      </c>
      <c r="O31" s="72">
        <f t="shared" si="3"/>
        <v>318.27999999999997</v>
      </c>
      <c r="P31" s="274">
        <f t="shared" si="4"/>
        <v>31614.752399999998</v>
      </c>
      <c r="Q31" s="121">
        <f t="shared" si="5"/>
        <v>104.58</v>
      </c>
      <c r="R31" s="185"/>
      <c r="S31" s="185"/>
      <c r="T31" s="185"/>
    </row>
    <row r="32" spans="2:20" s="121" customFormat="1" ht="16.5" customHeight="1" x14ac:dyDescent="0.2">
      <c r="B32" s="120"/>
      <c r="C32" s="73" t="s">
        <v>151</v>
      </c>
      <c r="D32" s="73" t="s">
        <v>209</v>
      </c>
      <c r="E32" s="74" t="s">
        <v>210</v>
      </c>
      <c r="F32" s="75" t="s">
        <v>211</v>
      </c>
      <c r="G32" s="76" t="s">
        <v>201</v>
      </c>
      <c r="H32" s="77">
        <v>199.14</v>
      </c>
      <c r="I32" s="78">
        <v>172.71</v>
      </c>
      <c r="J32" s="77">
        <v>34393.5</v>
      </c>
      <c r="K32" s="68">
        <f t="shared" si="6"/>
        <v>-0.47</v>
      </c>
      <c r="L32" s="69">
        <f t="shared" si="0"/>
        <v>172.71</v>
      </c>
      <c r="M32" s="273">
        <f t="shared" si="1"/>
        <v>-81.173699999999997</v>
      </c>
      <c r="N32" s="71">
        <f t="shared" si="2"/>
        <v>198.67</v>
      </c>
      <c r="O32" s="72">
        <f t="shared" si="3"/>
        <v>172.71</v>
      </c>
      <c r="P32" s="274">
        <f t="shared" si="4"/>
        <v>34312.295700000002</v>
      </c>
      <c r="Q32" s="121">
        <f t="shared" si="5"/>
        <v>209.15</v>
      </c>
      <c r="R32" s="185"/>
      <c r="S32" s="185"/>
      <c r="T32" s="185"/>
    </row>
    <row r="33" spans="2:20" s="121" customFormat="1" ht="16.5" customHeight="1" x14ac:dyDescent="0.2">
      <c r="B33" s="120"/>
      <c r="C33" s="56" t="s">
        <v>154</v>
      </c>
      <c r="D33" s="56" t="s">
        <v>96</v>
      </c>
      <c r="E33" s="57" t="s">
        <v>213</v>
      </c>
      <c r="F33" s="58" t="s">
        <v>214</v>
      </c>
      <c r="G33" s="59" t="s">
        <v>108</v>
      </c>
      <c r="H33" s="60">
        <v>182.34</v>
      </c>
      <c r="I33" s="61">
        <v>53.92</v>
      </c>
      <c r="J33" s="60">
        <v>9831.7999999999993</v>
      </c>
      <c r="K33" s="68">
        <f t="shared" si="6"/>
        <v>-0.43</v>
      </c>
      <c r="L33" s="69">
        <f t="shared" si="0"/>
        <v>53.92</v>
      </c>
      <c r="M33" s="273">
        <f t="shared" si="1"/>
        <v>-23.185600000000001</v>
      </c>
      <c r="N33" s="71">
        <f t="shared" si="2"/>
        <v>181.91</v>
      </c>
      <c r="O33" s="72">
        <f t="shared" si="3"/>
        <v>53.92</v>
      </c>
      <c r="P33" s="274">
        <f t="shared" si="4"/>
        <v>9808.5871999999999</v>
      </c>
      <c r="Q33" s="121">
        <f t="shared" si="5"/>
        <v>191.51</v>
      </c>
      <c r="R33" s="185"/>
      <c r="S33" s="185"/>
      <c r="T33" s="185"/>
    </row>
    <row r="34" spans="2:20" s="170" customFormat="1" ht="22.9" customHeight="1" x14ac:dyDescent="0.2">
      <c r="B34" s="165"/>
      <c r="C34" s="252"/>
      <c r="D34" s="253" t="s">
        <v>4</v>
      </c>
      <c r="E34" s="254" t="s">
        <v>13</v>
      </c>
      <c r="F34" s="254" t="s">
        <v>222</v>
      </c>
      <c r="G34" s="252"/>
      <c r="H34" s="252"/>
      <c r="I34" s="255"/>
      <c r="J34" s="256">
        <f>+SUBTOTAL(9,J35:J36)</f>
        <v>6687.7</v>
      </c>
      <c r="K34" s="261"/>
      <c r="L34" s="262"/>
      <c r="M34" s="279">
        <f>SUM(M35:M36)</f>
        <v>-15.784000000000001</v>
      </c>
      <c r="N34" s="280"/>
      <c r="O34" s="262"/>
      <c r="P34" s="279">
        <f>SUM(P35:P36)</f>
        <v>6671.8968000000004</v>
      </c>
      <c r="Q34" s="121">
        <f t="shared" si="5"/>
        <v>0</v>
      </c>
      <c r="R34" s="187"/>
      <c r="S34" s="187"/>
      <c r="T34" s="187"/>
    </row>
    <row r="35" spans="2:20" s="121" customFormat="1" ht="16.5" customHeight="1" x14ac:dyDescent="0.2">
      <c r="B35" s="120"/>
      <c r="C35" s="56" t="s">
        <v>1</v>
      </c>
      <c r="D35" s="56" t="s">
        <v>96</v>
      </c>
      <c r="E35" s="57" t="s">
        <v>224</v>
      </c>
      <c r="F35" s="58" t="s">
        <v>225</v>
      </c>
      <c r="G35" s="59" t="s">
        <v>133</v>
      </c>
      <c r="H35" s="60">
        <v>169.48</v>
      </c>
      <c r="I35" s="61">
        <v>32.880000000000003</v>
      </c>
      <c r="J35" s="60">
        <v>5572.5</v>
      </c>
      <c r="K35" s="68">
        <f t="shared" si="6"/>
        <v>-0.4</v>
      </c>
      <c r="L35" s="69">
        <f t="shared" si="0"/>
        <v>32.880000000000003</v>
      </c>
      <c r="M35" s="273">
        <f t="shared" si="1"/>
        <v>-13.152000000000001</v>
      </c>
      <c r="N35" s="71">
        <f t="shared" si="2"/>
        <v>169.07999999999998</v>
      </c>
      <c r="O35" s="72">
        <f t="shared" si="3"/>
        <v>32.880000000000003</v>
      </c>
      <c r="P35" s="274">
        <f t="shared" si="4"/>
        <v>5559.3504000000003</v>
      </c>
      <c r="Q35" s="121">
        <f t="shared" si="5"/>
        <v>178</v>
      </c>
      <c r="R35" s="185"/>
      <c r="S35" s="185"/>
      <c r="T35" s="185"/>
    </row>
    <row r="36" spans="2:20" s="121" customFormat="1" ht="16.5" customHeight="1" x14ac:dyDescent="0.2">
      <c r="B36" s="120"/>
      <c r="C36" s="56" t="s">
        <v>159</v>
      </c>
      <c r="D36" s="56" t="s">
        <v>96</v>
      </c>
      <c r="E36" s="57" t="s">
        <v>227</v>
      </c>
      <c r="F36" s="58" t="s">
        <v>228</v>
      </c>
      <c r="G36" s="59" t="s">
        <v>133</v>
      </c>
      <c r="H36" s="60">
        <v>169.48</v>
      </c>
      <c r="I36" s="61">
        <v>6.58</v>
      </c>
      <c r="J36" s="60">
        <v>1115.2</v>
      </c>
      <c r="K36" s="68">
        <f t="shared" si="6"/>
        <v>-0.4</v>
      </c>
      <c r="L36" s="69">
        <f t="shared" si="0"/>
        <v>6.58</v>
      </c>
      <c r="M36" s="273">
        <f t="shared" si="1"/>
        <v>-2.6320000000000001</v>
      </c>
      <c r="N36" s="71">
        <f t="shared" si="2"/>
        <v>169.07999999999998</v>
      </c>
      <c r="O36" s="72">
        <f t="shared" si="3"/>
        <v>6.58</v>
      </c>
      <c r="P36" s="274">
        <f t="shared" si="4"/>
        <v>1112.5463999999999</v>
      </c>
      <c r="Q36" s="121">
        <f t="shared" si="5"/>
        <v>178</v>
      </c>
      <c r="R36" s="185"/>
      <c r="S36" s="185"/>
      <c r="T36" s="185"/>
    </row>
    <row r="37" spans="2:20" s="170" customFormat="1" ht="22.9" customHeight="1" x14ac:dyDescent="0.2">
      <c r="B37" s="165"/>
      <c r="C37" s="252"/>
      <c r="D37" s="253" t="s">
        <v>4</v>
      </c>
      <c r="E37" s="254" t="s">
        <v>100</v>
      </c>
      <c r="F37" s="254" t="s">
        <v>229</v>
      </c>
      <c r="G37" s="252"/>
      <c r="H37" s="252"/>
      <c r="I37" s="255"/>
      <c r="J37" s="256">
        <f>+SUBTOTAL(9,J38:J43)</f>
        <v>82663.5</v>
      </c>
      <c r="K37" s="261"/>
      <c r="L37" s="262"/>
      <c r="M37" s="279">
        <f>SUM(M38:M43)</f>
        <v>-161.958</v>
      </c>
      <c r="N37" s="280"/>
      <c r="O37" s="262"/>
      <c r="P37" s="279">
        <f>SUM(P38:P43)</f>
        <v>82501.682099999991</v>
      </c>
      <c r="Q37" s="121">
        <f t="shared" si="5"/>
        <v>0</v>
      </c>
      <c r="R37" s="187"/>
      <c r="S37" s="187"/>
      <c r="T37" s="187"/>
    </row>
    <row r="38" spans="2:20" s="121" customFormat="1" ht="16.5" customHeight="1" x14ac:dyDescent="0.2">
      <c r="B38" s="120"/>
      <c r="C38" s="56" t="s">
        <v>162</v>
      </c>
      <c r="D38" s="56" t="s">
        <v>96</v>
      </c>
      <c r="E38" s="57" t="s">
        <v>231</v>
      </c>
      <c r="F38" s="58" t="s">
        <v>232</v>
      </c>
      <c r="G38" s="59" t="s">
        <v>99</v>
      </c>
      <c r="H38" s="60">
        <v>2</v>
      </c>
      <c r="I38" s="61">
        <v>122.32</v>
      </c>
      <c r="J38" s="60">
        <v>244.6</v>
      </c>
      <c r="K38" s="68">
        <v>0</v>
      </c>
      <c r="L38" s="69">
        <f t="shared" si="0"/>
        <v>122.32</v>
      </c>
      <c r="M38" s="273">
        <f t="shared" si="1"/>
        <v>0</v>
      </c>
      <c r="N38" s="71">
        <f t="shared" si="2"/>
        <v>2</v>
      </c>
      <c r="O38" s="72">
        <f t="shared" si="3"/>
        <v>122.32</v>
      </c>
      <c r="P38" s="274">
        <f t="shared" si="4"/>
        <v>244.64</v>
      </c>
      <c r="Q38" s="121">
        <f t="shared" si="5"/>
        <v>2.1</v>
      </c>
      <c r="R38" s="185"/>
      <c r="S38" s="185"/>
      <c r="T38" s="185"/>
    </row>
    <row r="39" spans="2:20" s="121" customFormat="1" ht="16.5" customHeight="1" x14ac:dyDescent="0.2">
      <c r="B39" s="120"/>
      <c r="C39" s="73" t="s">
        <v>165</v>
      </c>
      <c r="D39" s="73" t="s">
        <v>209</v>
      </c>
      <c r="E39" s="74" t="s">
        <v>243</v>
      </c>
      <c r="F39" s="75" t="s">
        <v>244</v>
      </c>
      <c r="G39" s="76" t="s">
        <v>99</v>
      </c>
      <c r="H39" s="77">
        <v>2</v>
      </c>
      <c r="I39" s="78">
        <v>220.96</v>
      </c>
      <c r="J39" s="77">
        <v>441.9</v>
      </c>
      <c r="K39" s="68">
        <v>0</v>
      </c>
      <c r="L39" s="69">
        <f t="shared" si="0"/>
        <v>220.96</v>
      </c>
      <c r="M39" s="273">
        <f t="shared" si="1"/>
        <v>0</v>
      </c>
      <c r="N39" s="71">
        <f t="shared" si="2"/>
        <v>2</v>
      </c>
      <c r="O39" s="72">
        <f t="shared" si="3"/>
        <v>220.96</v>
      </c>
      <c r="P39" s="274">
        <f t="shared" si="4"/>
        <v>441.92</v>
      </c>
      <c r="Q39" s="121">
        <f t="shared" si="5"/>
        <v>2.1</v>
      </c>
      <c r="R39" s="185"/>
      <c r="S39" s="185"/>
      <c r="T39" s="185"/>
    </row>
    <row r="40" spans="2:20" s="121" customFormat="1" ht="16.5" customHeight="1" x14ac:dyDescent="0.2">
      <c r="B40" s="120"/>
      <c r="C40" s="56" t="s">
        <v>168</v>
      </c>
      <c r="D40" s="56" t="s">
        <v>96</v>
      </c>
      <c r="E40" s="57" t="s">
        <v>246</v>
      </c>
      <c r="F40" s="58" t="s">
        <v>247</v>
      </c>
      <c r="G40" s="59" t="s">
        <v>99</v>
      </c>
      <c r="H40" s="60">
        <v>4</v>
      </c>
      <c r="I40" s="61">
        <v>152.57</v>
      </c>
      <c r="J40" s="60">
        <v>610.29999999999995</v>
      </c>
      <c r="K40" s="68">
        <v>0</v>
      </c>
      <c r="L40" s="69">
        <f t="shared" si="0"/>
        <v>152.57</v>
      </c>
      <c r="M40" s="273">
        <f t="shared" si="1"/>
        <v>0</v>
      </c>
      <c r="N40" s="71">
        <f t="shared" si="2"/>
        <v>4</v>
      </c>
      <c r="O40" s="72">
        <f t="shared" si="3"/>
        <v>152.57</v>
      </c>
      <c r="P40" s="274">
        <f t="shared" si="4"/>
        <v>610.28</v>
      </c>
      <c r="Q40" s="121">
        <f t="shared" si="5"/>
        <v>4.2</v>
      </c>
      <c r="R40" s="185"/>
      <c r="S40" s="185"/>
      <c r="T40" s="185"/>
    </row>
    <row r="41" spans="2:20" s="121" customFormat="1" ht="16.5" customHeight="1" x14ac:dyDescent="0.2">
      <c r="B41" s="120"/>
      <c r="C41" s="73" t="s">
        <v>171</v>
      </c>
      <c r="D41" s="73" t="s">
        <v>209</v>
      </c>
      <c r="E41" s="74" t="s">
        <v>249</v>
      </c>
      <c r="F41" s="75" t="s">
        <v>250</v>
      </c>
      <c r="G41" s="76" t="s">
        <v>99</v>
      </c>
      <c r="H41" s="77">
        <v>4</v>
      </c>
      <c r="I41" s="78">
        <v>395.88</v>
      </c>
      <c r="J41" s="77">
        <v>1583.5</v>
      </c>
      <c r="K41" s="68">
        <v>0</v>
      </c>
      <c r="L41" s="69">
        <f t="shared" si="0"/>
        <v>395.88</v>
      </c>
      <c r="M41" s="273">
        <f t="shared" si="1"/>
        <v>0</v>
      </c>
      <c r="N41" s="71">
        <f t="shared" si="2"/>
        <v>4</v>
      </c>
      <c r="O41" s="72">
        <f t="shared" si="3"/>
        <v>395.88</v>
      </c>
      <c r="P41" s="274">
        <f t="shared" si="4"/>
        <v>1583.52</v>
      </c>
      <c r="Q41" s="121">
        <f t="shared" si="5"/>
        <v>4.2</v>
      </c>
      <c r="R41" s="185"/>
      <c r="S41" s="185"/>
      <c r="T41" s="185"/>
    </row>
    <row r="42" spans="2:20" s="121" customFormat="1" ht="16.5" customHeight="1" x14ac:dyDescent="0.2">
      <c r="B42" s="120"/>
      <c r="C42" s="56" t="s">
        <v>174</v>
      </c>
      <c r="D42" s="56" t="s">
        <v>96</v>
      </c>
      <c r="E42" s="57" t="s">
        <v>252</v>
      </c>
      <c r="F42" s="58" t="s">
        <v>253</v>
      </c>
      <c r="G42" s="59" t="s">
        <v>150</v>
      </c>
      <c r="H42" s="60">
        <v>22.81</v>
      </c>
      <c r="I42" s="61">
        <v>3239.16</v>
      </c>
      <c r="J42" s="60">
        <v>73885.2</v>
      </c>
      <c r="K42" s="68">
        <f t="shared" ref="K42:K43" si="7">ROUND(177.6/178*Q42-Q42,2)</f>
        <v>-0.05</v>
      </c>
      <c r="L42" s="69">
        <f t="shared" si="0"/>
        <v>3239.16</v>
      </c>
      <c r="M42" s="273">
        <f t="shared" si="1"/>
        <v>-161.958</v>
      </c>
      <c r="N42" s="71">
        <f t="shared" si="2"/>
        <v>22.759999999999998</v>
      </c>
      <c r="O42" s="72">
        <f t="shared" si="3"/>
        <v>3239.16</v>
      </c>
      <c r="P42" s="274">
        <f t="shared" si="4"/>
        <v>73723.281599999988</v>
      </c>
      <c r="Q42" s="121">
        <f t="shared" si="5"/>
        <v>23.96</v>
      </c>
      <c r="R42" s="185"/>
      <c r="S42" s="185"/>
      <c r="T42" s="185"/>
    </row>
    <row r="43" spans="2:20" s="121" customFormat="1" ht="12" x14ac:dyDescent="0.2">
      <c r="B43" s="120"/>
      <c r="C43" s="56" t="s">
        <v>177</v>
      </c>
      <c r="D43" s="56" t="s">
        <v>96</v>
      </c>
      <c r="E43" s="57" t="s">
        <v>255</v>
      </c>
      <c r="F43" s="58" t="s">
        <v>256</v>
      </c>
      <c r="G43" s="59" t="s">
        <v>150</v>
      </c>
      <c r="H43" s="60">
        <v>1.85</v>
      </c>
      <c r="I43" s="61">
        <v>3188.13</v>
      </c>
      <c r="J43" s="60">
        <v>5898</v>
      </c>
      <c r="K43" s="68">
        <f t="shared" si="7"/>
        <v>0</v>
      </c>
      <c r="L43" s="69">
        <f t="shared" si="0"/>
        <v>3188.13</v>
      </c>
      <c r="M43" s="273">
        <f t="shared" si="1"/>
        <v>0</v>
      </c>
      <c r="N43" s="71">
        <f t="shared" si="2"/>
        <v>1.85</v>
      </c>
      <c r="O43" s="72">
        <f t="shared" si="3"/>
        <v>3188.13</v>
      </c>
      <c r="P43" s="274">
        <f t="shared" si="4"/>
        <v>5898.0405000000001</v>
      </c>
      <c r="Q43" s="121">
        <f t="shared" si="5"/>
        <v>1.94</v>
      </c>
      <c r="R43" s="188"/>
      <c r="S43" s="186" t="s">
        <v>918</v>
      </c>
      <c r="T43" s="185"/>
    </row>
    <row r="44" spans="2:20" s="170" customFormat="1" ht="22.9" customHeight="1" x14ac:dyDescent="0.2">
      <c r="B44" s="165"/>
      <c r="C44" s="252"/>
      <c r="D44" s="253" t="s">
        <v>4</v>
      </c>
      <c r="E44" s="254" t="s">
        <v>105</v>
      </c>
      <c r="F44" s="254" t="s">
        <v>257</v>
      </c>
      <c r="G44" s="252"/>
      <c r="H44" s="252"/>
      <c r="I44" s="255"/>
      <c r="J44" s="256">
        <f>+SUBTOTAL(9,J45:J49)</f>
        <v>22416.699999999997</v>
      </c>
      <c r="K44" s="261"/>
      <c r="L44" s="262"/>
      <c r="M44" s="279">
        <f>SUM(M45:M49)</f>
        <v>0</v>
      </c>
      <c r="N44" s="280"/>
      <c r="O44" s="262"/>
      <c r="P44" s="279">
        <f>SUM(P45:P49)</f>
        <v>22416.7834</v>
      </c>
      <c r="Q44" s="121">
        <f t="shared" si="5"/>
        <v>0</v>
      </c>
      <c r="R44" s="187"/>
      <c r="S44" s="187"/>
      <c r="T44" s="187"/>
    </row>
    <row r="45" spans="2:20" s="121" customFormat="1" ht="16.5" customHeight="1" x14ac:dyDescent="0.2">
      <c r="B45" s="120"/>
      <c r="C45" s="56" t="s">
        <v>180</v>
      </c>
      <c r="D45" s="56" t="s">
        <v>96</v>
      </c>
      <c r="E45" s="57" t="s">
        <v>262</v>
      </c>
      <c r="F45" s="58" t="s">
        <v>263</v>
      </c>
      <c r="G45" s="59" t="s">
        <v>108</v>
      </c>
      <c r="H45" s="60">
        <v>13.4</v>
      </c>
      <c r="I45" s="61">
        <v>302.54000000000002</v>
      </c>
      <c r="J45" s="60">
        <v>4054</v>
      </c>
      <c r="K45" s="68">
        <v>0</v>
      </c>
      <c r="L45" s="69">
        <f t="shared" si="0"/>
        <v>302.54000000000002</v>
      </c>
      <c r="M45" s="273">
        <f t="shared" si="1"/>
        <v>0</v>
      </c>
      <c r="N45" s="71">
        <f t="shared" si="2"/>
        <v>13.4</v>
      </c>
      <c r="O45" s="72">
        <f t="shared" si="3"/>
        <v>302.54000000000002</v>
      </c>
      <c r="P45" s="274">
        <f t="shared" si="4"/>
        <v>4054.0360000000005</v>
      </c>
      <c r="Q45" s="121">
        <f t="shared" si="5"/>
        <v>14.07</v>
      </c>
      <c r="R45" s="185"/>
      <c r="S45" s="185"/>
      <c r="T45" s="185"/>
    </row>
    <row r="46" spans="2:20" s="121" customFormat="1" ht="16.5" customHeight="1" x14ac:dyDescent="0.2">
      <c r="B46" s="120"/>
      <c r="C46" s="56" t="s">
        <v>183</v>
      </c>
      <c r="D46" s="56" t="s">
        <v>96</v>
      </c>
      <c r="E46" s="57" t="s">
        <v>268</v>
      </c>
      <c r="F46" s="58" t="s">
        <v>269</v>
      </c>
      <c r="G46" s="59" t="s">
        <v>108</v>
      </c>
      <c r="H46" s="60">
        <v>13.4</v>
      </c>
      <c r="I46" s="61">
        <v>14.18</v>
      </c>
      <c r="J46" s="60">
        <v>190</v>
      </c>
      <c r="K46" s="68">
        <v>0</v>
      </c>
      <c r="L46" s="69">
        <f t="shared" si="0"/>
        <v>14.18</v>
      </c>
      <c r="M46" s="273">
        <f t="shared" si="1"/>
        <v>0</v>
      </c>
      <c r="N46" s="71">
        <f t="shared" si="2"/>
        <v>13.4</v>
      </c>
      <c r="O46" s="72">
        <f t="shared" si="3"/>
        <v>14.18</v>
      </c>
      <c r="P46" s="274">
        <f t="shared" si="4"/>
        <v>190.012</v>
      </c>
      <c r="Q46" s="121">
        <f t="shared" si="5"/>
        <v>14.07</v>
      </c>
      <c r="R46" s="185"/>
      <c r="S46" s="185"/>
      <c r="T46" s="185"/>
    </row>
    <row r="47" spans="2:20" s="121" customFormat="1" ht="16.5" customHeight="1" x14ac:dyDescent="0.2">
      <c r="B47" s="120"/>
      <c r="C47" s="56" t="s">
        <v>186</v>
      </c>
      <c r="D47" s="56" t="s">
        <v>96</v>
      </c>
      <c r="E47" s="57" t="s">
        <v>271</v>
      </c>
      <c r="F47" s="58" t="s">
        <v>272</v>
      </c>
      <c r="G47" s="59" t="s">
        <v>108</v>
      </c>
      <c r="H47" s="60">
        <v>25.58</v>
      </c>
      <c r="I47" s="61">
        <v>20.62</v>
      </c>
      <c r="J47" s="60">
        <v>527.5</v>
      </c>
      <c r="K47" s="68">
        <v>0</v>
      </c>
      <c r="L47" s="69">
        <f t="shared" si="0"/>
        <v>20.62</v>
      </c>
      <c r="M47" s="273">
        <f t="shared" si="1"/>
        <v>0</v>
      </c>
      <c r="N47" s="71">
        <f t="shared" si="2"/>
        <v>25.58</v>
      </c>
      <c r="O47" s="72">
        <f t="shared" si="3"/>
        <v>20.62</v>
      </c>
      <c r="P47" s="274">
        <f t="shared" si="4"/>
        <v>527.45960000000002</v>
      </c>
      <c r="Q47" s="121">
        <f t="shared" si="5"/>
        <v>26.87</v>
      </c>
      <c r="R47" s="185"/>
      <c r="S47" s="185"/>
      <c r="T47" s="185"/>
    </row>
    <row r="48" spans="2:20" s="121" customFormat="1" ht="16.5" customHeight="1" x14ac:dyDescent="0.2">
      <c r="B48" s="120"/>
      <c r="C48" s="56" t="s">
        <v>189</v>
      </c>
      <c r="D48" s="56" t="s">
        <v>96</v>
      </c>
      <c r="E48" s="57" t="s">
        <v>274</v>
      </c>
      <c r="F48" s="58" t="s">
        <v>275</v>
      </c>
      <c r="G48" s="59" t="s">
        <v>108</v>
      </c>
      <c r="H48" s="60">
        <v>25.58</v>
      </c>
      <c r="I48" s="61">
        <v>396.71</v>
      </c>
      <c r="J48" s="60">
        <v>10147.799999999999</v>
      </c>
      <c r="K48" s="68">
        <v>0</v>
      </c>
      <c r="L48" s="69">
        <f t="shared" si="0"/>
        <v>396.71</v>
      </c>
      <c r="M48" s="273">
        <f t="shared" si="1"/>
        <v>0</v>
      </c>
      <c r="N48" s="71">
        <f t="shared" si="2"/>
        <v>25.58</v>
      </c>
      <c r="O48" s="72">
        <f t="shared" si="3"/>
        <v>396.71</v>
      </c>
      <c r="P48" s="274">
        <f t="shared" si="4"/>
        <v>10147.841799999998</v>
      </c>
      <c r="Q48" s="121">
        <f t="shared" si="5"/>
        <v>26.87</v>
      </c>
      <c r="R48" s="185"/>
      <c r="S48" s="185"/>
      <c r="T48" s="185"/>
    </row>
    <row r="49" spans="2:20" s="121" customFormat="1" ht="16.5" customHeight="1" x14ac:dyDescent="0.2">
      <c r="B49" s="120"/>
      <c r="C49" s="56" t="s">
        <v>192</v>
      </c>
      <c r="D49" s="56" t="s">
        <v>96</v>
      </c>
      <c r="E49" s="57" t="s">
        <v>277</v>
      </c>
      <c r="F49" s="58" t="s">
        <v>278</v>
      </c>
      <c r="G49" s="59" t="s">
        <v>108</v>
      </c>
      <c r="H49" s="60">
        <v>13.4</v>
      </c>
      <c r="I49" s="61">
        <v>559.51</v>
      </c>
      <c r="J49" s="60">
        <v>7497.4</v>
      </c>
      <c r="K49" s="68">
        <v>0</v>
      </c>
      <c r="L49" s="69">
        <f t="shared" si="0"/>
        <v>559.51</v>
      </c>
      <c r="M49" s="273">
        <f t="shared" si="1"/>
        <v>0</v>
      </c>
      <c r="N49" s="71">
        <f t="shared" si="2"/>
        <v>13.4</v>
      </c>
      <c r="O49" s="72">
        <f t="shared" si="3"/>
        <v>559.51</v>
      </c>
      <c r="P49" s="274">
        <f t="shared" si="4"/>
        <v>7497.4340000000002</v>
      </c>
      <c r="Q49" s="121">
        <f t="shared" si="5"/>
        <v>14.07</v>
      </c>
      <c r="R49" s="185"/>
      <c r="S49" s="185"/>
      <c r="T49" s="185"/>
    </row>
    <row r="50" spans="2:20" s="170" customFormat="1" ht="22.9" customHeight="1" x14ac:dyDescent="0.2">
      <c r="B50" s="165"/>
      <c r="C50" s="252"/>
      <c r="D50" s="253" t="s">
        <v>4</v>
      </c>
      <c r="E50" s="254" t="s">
        <v>115</v>
      </c>
      <c r="F50" s="254" t="s">
        <v>288</v>
      </c>
      <c r="G50" s="252"/>
      <c r="H50" s="252"/>
      <c r="I50" s="255"/>
      <c r="J50" s="256">
        <f>+SUBTOTAL(9,J51:J71)</f>
        <v>484595.10000000015</v>
      </c>
      <c r="K50" s="261"/>
      <c r="L50" s="262"/>
      <c r="M50" s="279">
        <f>SUM(M51:M71)</f>
        <v>-671.08</v>
      </c>
      <c r="N50" s="280"/>
      <c r="O50" s="262"/>
      <c r="P50" s="279">
        <f>SUM(P51:P71)</f>
        <v>483923.95389999979</v>
      </c>
      <c r="Q50" s="121">
        <f t="shared" si="5"/>
        <v>0</v>
      </c>
      <c r="R50" s="187"/>
      <c r="S50" s="187"/>
      <c r="T50" s="187"/>
    </row>
    <row r="51" spans="2:20" s="121" customFormat="1" ht="16.5" customHeight="1" x14ac:dyDescent="0.2">
      <c r="B51" s="120"/>
      <c r="C51" s="56" t="s">
        <v>195</v>
      </c>
      <c r="D51" s="56" t="s">
        <v>96</v>
      </c>
      <c r="E51" s="57" t="s">
        <v>296</v>
      </c>
      <c r="F51" s="58" t="s">
        <v>297</v>
      </c>
      <c r="G51" s="59" t="s">
        <v>133</v>
      </c>
      <c r="H51" s="60">
        <v>169.48</v>
      </c>
      <c r="I51" s="61">
        <v>552.39</v>
      </c>
      <c r="J51" s="60">
        <v>93619.1</v>
      </c>
      <c r="K51" s="68">
        <f t="shared" ref="K51:K52" si="8">ROUND(177.6/178*Q51-Q51,2)</f>
        <v>-0.4</v>
      </c>
      <c r="L51" s="69">
        <f t="shared" si="0"/>
        <v>552.39</v>
      </c>
      <c r="M51" s="273">
        <f t="shared" si="1"/>
        <v>-220.95600000000002</v>
      </c>
      <c r="N51" s="71">
        <f t="shared" si="2"/>
        <v>169.07999999999998</v>
      </c>
      <c r="O51" s="72">
        <f t="shared" si="3"/>
        <v>552.39</v>
      </c>
      <c r="P51" s="274">
        <f t="shared" si="4"/>
        <v>93398.10119999999</v>
      </c>
      <c r="Q51" s="121">
        <f t="shared" si="5"/>
        <v>178</v>
      </c>
      <c r="R51" s="185"/>
      <c r="S51" s="186" t="s">
        <v>922</v>
      </c>
      <c r="T51" s="185"/>
    </row>
    <row r="52" spans="2:20" s="121" customFormat="1" ht="16.5" customHeight="1" x14ac:dyDescent="0.2">
      <c r="B52" s="120"/>
      <c r="C52" s="73" t="s">
        <v>198</v>
      </c>
      <c r="D52" s="73" t="s">
        <v>209</v>
      </c>
      <c r="E52" s="74" t="s">
        <v>299</v>
      </c>
      <c r="F52" s="75" t="s">
        <v>500</v>
      </c>
      <c r="G52" s="76" t="s">
        <v>133</v>
      </c>
      <c r="H52" s="77">
        <v>169.48</v>
      </c>
      <c r="I52" s="78">
        <v>1060.07</v>
      </c>
      <c r="J52" s="77">
        <v>179660.7</v>
      </c>
      <c r="K52" s="68">
        <f t="shared" si="8"/>
        <v>-0.4</v>
      </c>
      <c r="L52" s="69">
        <f t="shared" si="0"/>
        <v>1060.07</v>
      </c>
      <c r="M52" s="273">
        <f t="shared" si="1"/>
        <v>-424.02800000000002</v>
      </c>
      <c r="N52" s="71">
        <f t="shared" si="2"/>
        <v>169.07999999999998</v>
      </c>
      <c r="O52" s="72">
        <f t="shared" si="3"/>
        <v>1060.07</v>
      </c>
      <c r="P52" s="274">
        <f t="shared" si="4"/>
        <v>179236.63559999998</v>
      </c>
      <c r="Q52" s="121">
        <f t="shared" si="5"/>
        <v>178</v>
      </c>
      <c r="R52" s="185"/>
      <c r="S52" s="186" t="s">
        <v>922</v>
      </c>
      <c r="T52" s="185"/>
    </row>
    <row r="53" spans="2:20" s="121" customFormat="1" ht="16.5" customHeight="1" x14ac:dyDescent="0.2">
      <c r="B53" s="120"/>
      <c r="C53" s="73" t="s">
        <v>202</v>
      </c>
      <c r="D53" s="73" t="s">
        <v>209</v>
      </c>
      <c r="E53" s="74" t="s">
        <v>302</v>
      </c>
      <c r="F53" s="75" t="s">
        <v>303</v>
      </c>
      <c r="G53" s="76" t="s">
        <v>99</v>
      </c>
      <c r="H53" s="77">
        <v>7</v>
      </c>
      <c r="I53" s="78">
        <v>739.15</v>
      </c>
      <c r="J53" s="77">
        <v>5174.1000000000004</v>
      </c>
      <c r="K53" s="68">
        <v>0</v>
      </c>
      <c r="L53" s="69">
        <f t="shared" si="0"/>
        <v>739.15</v>
      </c>
      <c r="M53" s="273">
        <f t="shared" si="1"/>
        <v>0</v>
      </c>
      <c r="N53" s="71">
        <f t="shared" si="2"/>
        <v>7</v>
      </c>
      <c r="O53" s="72">
        <f t="shared" si="3"/>
        <v>739.15</v>
      </c>
      <c r="P53" s="274">
        <f t="shared" si="4"/>
        <v>5174.05</v>
      </c>
      <c r="Q53" s="121">
        <f t="shared" si="5"/>
        <v>7.35</v>
      </c>
      <c r="R53" s="185"/>
      <c r="S53" s="185" t="s">
        <v>920</v>
      </c>
      <c r="T53" s="185"/>
    </row>
    <row r="54" spans="2:20" s="121" customFormat="1" ht="16.5" customHeight="1" x14ac:dyDescent="0.2">
      <c r="B54" s="120"/>
      <c r="C54" s="56" t="s">
        <v>205</v>
      </c>
      <c r="D54" s="56" t="s">
        <v>96</v>
      </c>
      <c r="E54" s="57" t="s">
        <v>320</v>
      </c>
      <c r="F54" s="58" t="s">
        <v>321</v>
      </c>
      <c r="G54" s="59" t="s">
        <v>99</v>
      </c>
      <c r="H54" s="60">
        <v>1</v>
      </c>
      <c r="I54" s="61">
        <v>260.41000000000003</v>
      </c>
      <c r="J54" s="60">
        <v>260.39999999999998</v>
      </c>
      <c r="K54" s="68">
        <v>0</v>
      </c>
      <c r="L54" s="69">
        <f t="shared" si="0"/>
        <v>260.41000000000003</v>
      </c>
      <c r="M54" s="273">
        <f t="shared" si="1"/>
        <v>0</v>
      </c>
      <c r="N54" s="71">
        <f t="shared" si="2"/>
        <v>1</v>
      </c>
      <c r="O54" s="72">
        <f t="shared" si="3"/>
        <v>260.41000000000003</v>
      </c>
      <c r="P54" s="274">
        <f t="shared" si="4"/>
        <v>260.41000000000003</v>
      </c>
      <c r="Q54" s="121">
        <f t="shared" si="5"/>
        <v>1.05</v>
      </c>
      <c r="R54" s="185"/>
      <c r="S54" s="185"/>
      <c r="T54" s="185"/>
    </row>
    <row r="55" spans="2:20" s="121" customFormat="1" ht="16.5" customHeight="1" x14ac:dyDescent="0.2">
      <c r="B55" s="120"/>
      <c r="C55" s="73" t="s">
        <v>208</v>
      </c>
      <c r="D55" s="73" t="s">
        <v>209</v>
      </c>
      <c r="E55" s="74" t="s">
        <v>326</v>
      </c>
      <c r="F55" s="75" t="s">
        <v>327</v>
      </c>
      <c r="G55" s="76" t="s">
        <v>99</v>
      </c>
      <c r="H55" s="77">
        <v>1.02</v>
      </c>
      <c r="I55" s="78">
        <v>1801.85</v>
      </c>
      <c r="J55" s="77">
        <v>1837.9</v>
      </c>
      <c r="K55" s="68">
        <v>0</v>
      </c>
      <c r="L55" s="69">
        <f t="shared" si="0"/>
        <v>1801.85</v>
      </c>
      <c r="M55" s="273">
        <f t="shared" si="1"/>
        <v>0</v>
      </c>
      <c r="N55" s="71">
        <f t="shared" si="2"/>
        <v>1.02</v>
      </c>
      <c r="O55" s="72">
        <f t="shared" si="3"/>
        <v>1801.85</v>
      </c>
      <c r="P55" s="274">
        <f t="shared" si="4"/>
        <v>1837.8869999999999</v>
      </c>
      <c r="Q55" s="121">
        <f t="shared" si="5"/>
        <v>1.07</v>
      </c>
      <c r="R55" s="185"/>
      <c r="S55" s="185"/>
      <c r="T55" s="185"/>
    </row>
    <row r="56" spans="2:20" s="121" customFormat="1" ht="16.5" customHeight="1" x14ac:dyDescent="0.2">
      <c r="B56" s="120"/>
      <c r="C56" s="56" t="s">
        <v>212</v>
      </c>
      <c r="D56" s="56" t="s">
        <v>96</v>
      </c>
      <c r="E56" s="57" t="s">
        <v>329</v>
      </c>
      <c r="F56" s="58" t="s">
        <v>330</v>
      </c>
      <c r="G56" s="59" t="s">
        <v>99</v>
      </c>
      <c r="H56" s="60">
        <v>11</v>
      </c>
      <c r="I56" s="61">
        <v>219.64</v>
      </c>
      <c r="J56" s="60">
        <v>2416</v>
      </c>
      <c r="K56" s="68">
        <v>0</v>
      </c>
      <c r="L56" s="69">
        <f t="shared" si="0"/>
        <v>219.64</v>
      </c>
      <c r="M56" s="273">
        <f t="shared" si="1"/>
        <v>0</v>
      </c>
      <c r="N56" s="71">
        <f t="shared" si="2"/>
        <v>11</v>
      </c>
      <c r="O56" s="72">
        <f t="shared" si="3"/>
        <v>219.64</v>
      </c>
      <c r="P56" s="274">
        <f t="shared" si="4"/>
        <v>2416.04</v>
      </c>
      <c r="Q56" s="121">
        <f t="shared" si="5"/>
        <v>11.55</v>
      </c>
      <c r="R56" s="185"/>
      <c r="S56" s="185"/>
      <c r="T56" s="185"/>
    </row>
    <row r="57" spans="2:20" s="121" customFormat="1" ht="16.5" customHeight="1" x14ac:dyDescent="0.2">
      <c r="B57" s="120"/>
      <c r="C57" s="73" t="s">
        <v>215</v>
      </c>
      <c r="D57" s="73" t="s">
        <v>209</v>
      </c>
      <c r="E57" s="74" t="s">
        <v>332</v>
      </c>
      <c r="F57" s="75" t="s">
        <v>333</v>
      </c>
      <c r="G57" s="76" t="s">
        <v>99</v>
      </c>
      <c r="H57" s="77">
        <v>5.08</v>
      </c>
      <c r="I57" s="78">
        <v>1129.77</v>
      </c>
      <c r="J57" s="77">
        <v>5739.2</v>
      </c>
      <c r="K57" s="68">
        <v>0</v>
      </c>
      <c r="L57" s="69">
        <f t="shared" si="0"/>
        <v>1129.77</v>
      </c>
      <c r="M57" s="273">
        <f t="shared" si="1"/>
        <v>0</v>
      </c>
      <c r="N57" s="71">
        <f t="shared" si="2"/>
        <v>5.08</v>
      </c>
      <c r="O57" s="72">
        <f t="shared" si="3"/>
        <v>1129.77</v>
      </c>
      <c r="P57" s="274">
        <f t="shared" si="4"/>
        <v>5739.2316000000001</v>
      </c>
      <c r="Q57" s="121">
        <f t="shared" si="5"/>
        <v>5.34</v>
      </c>
      <c r="R57" s="185"/>
      <c r="S57" s="185"/>
      <c r="T57" s="185"/>
    </row>
    <row r="58" spans="2:20" s="121" customFormat="1" ht="16.5" customHeight="1" x14ac:dyDescent="0.2">
      <c r="B58" s="120"/>
      <c r="C58" s="73" t="s">
        <v>219</v>
      </c>
      <c r="D58" s="73" t="s">
        <v>209</v>
      </c>
      <c r="E58" s="74" t="s">
        <v>335</v>
      </c>
      <c r="F58" s="75" t="s">
        <v>336</v>
      </c>
      <c r="G58" s="76" t="s">
        <v>99</v>
      </c>
      <c r="H58" s="77">
        <v>6.09</v>
      </c>
      <c r="I58" s="78">
        <v>1129.77</v>
      </c>
      <c r="J58" s="77">
        <v>6880.3</v>
      </c>
      <c r="K58" s="68">
        <v>0</v>
      </c>
      <c r="L58" s="69">
        <f t="shared" si="0"/>
        <v>1129.77</v>
      </c>
      <c r="M58" s="273">
        <f t="shared" si="1"/>
        <v>0</v>
      </c>
      <c r="N58" s="71">
        <f t="shared" si="2"/>
        <v>6.09</v>
      </c>
      <c r="O58" s="72">
        <f t="shared" si="3"/>
        <v>1129.77</v>
      </c>
      <c r="P58" s="274">
        <f t="shared" si="4"/>
        <v>6880.2992999999997</v>
      </c>
      <c r="Q58" s="121">
        <f t="shared" si="5"/>
        <v>6.4</v>
      </c>
      <c r="R58" s="185"/>
      <c r="S58" s="185"/>
      <c r="T58" s="185"/>
    </row>
    <row r="59" spans="2:20" s="121" customFormat="1" ht="33.75" customHeight="1" x14ac:dyDescent="0.2">
      <c r="B59" s="120"/>
      <c r="C59" s="56" t="s">
        <v>223</v>
      </c>
      <c r="D59" s="56" t="s">
        <v>96</v>
      </c>
      <c r="E59" s="57" t="s">
        <v>347</v>
      </c>
      <c r="F59" s="58" t="s">
        <v>348</v>
      </c>
      <c r="G59" s="59" t="s">
        <v>133</v>
      </c>
      <c r="H59" s="60">
        <v>169.48</v>
      </c>
      <c r="I59" s="61">
        <v>56.03</v>
      </c>
      <c r="J59" s="60">
        <v>9496</v>
      </c>
      <c r="K59" s="68">
        <f t="shared" ref="K59" si="9">ROUND(177.6/178*Q59-Q59,2)</f>
        <v>-0.4</v>
      </c>
      <c r="L59" s="69">
        <f t="shared" si="0"/>
        <v>56.03</v>
      </c>
      <c r="M59" s="273">
        <f t="shared" si="1"/>
        <v>-22.412000000000003</v>
      </c>
      <c r="N59" s="71">
        <f t="shared" si="2"/>
        <v>169.07999999999998</v>
      </c>
      <c r="O59" s="72">
        <f t="shared" si="3"/>
        <v>56.03</v>
      </c>
      <c r="P59" s="274">
        <f t="shared" si="4"/>
        <v>9473.5523999999987</v>
      </c>
      <c r="Q59" s="121">
        <f t="shared" si="5"/>
        <v>178</v>
      </c>
      <c r="R59" s="185"/>
      <c r="S59" s="185"/>
      <c r="T59" s="185"/>
    </row>
    <row r="60" spans="2:20" s="121" customFormat="1" ht="16.5" customHeight="1" x14ac:dyDescent="0.2">
      <c r="B60" s="120"/>
      <c r="C60" s="56" t="s">
        <v>226</v>
      </c>
      <c r="D60" s="56" t="s">
        <v>96</v>
      </c>
      <c r="E60" s="57" t="s">
        <v>350</v>
      </c>
      <c r="F60" s="58" t="s">
        <v>351</v>
      </c>
      <c r="G60" s="59" t="s">
        <v>99</v>
      </c>
      <c r="H60" s="60">
        <v>6</v>
      </c>
      <c r="I60" s="61">
        <v>808.86</v>
      </c>
      <c r="J60" s="60">
        <v>4853.2</v>
      </c>
      <c r="K60" s="68">
        <v>0</v>
      </c>
      <c r="L60" s="69">
        <f t="shared" si="0"/>
        <v>808.86</v>
      </c>
      <c r="M60" s="273">
        <f t="shared" si="1"/>
        <v>0</v>
      </c>
      <c r="N60" s="71">
        <f t="shared" si="2"/>
        <v>6</v>
      </c>
      <c r="O60" s="72">
        <f t="shared" si="3"/>
        <v>808.86</v>
      </c>
      <c r="P60" s="274">
        <f t="shared" si="4"/>
        <v>4853.16</v>
      </c>
      <c r="Q60" s="121">
        <f t="shared" si="5"/>
        <v>6.3</v>
      </c>
      <c r="R60" s="185"/>
      <c r="S60" s="185"/>
      <c r="T60" s="185"/>
    </row>
    <row r="61" spans="2:20" s="121" customFormat="1" ht="16.5" customHeight="1" x14ac:dyDescent="0.2">
      <c r="B61" s="120"/>
      <c r="C61" s="73" t="s">
        <v>230</v>
      </c>
      <c r="D61" s="73" t="s">
        <v>209</v>
      </c>
      <c r="E61" s="74" t="s">
        <v>356</v>
      </c>
      <c r="F61" s="75" t="s">
        <v>357</v>
      </c>
      <c r="G61" s="76" t="s">
        <v>99</v>
      </c>
      <c r="H61" s="77">
        <v>3</v>
      </c>
      <c r="I61" s="78">
        <v>1202.1099999999999</v>
      </c>
      <c r="J61" s="77">
        <v>3606.3</v>
      </c>
      <c r="K61" s="68">
        <v>0</v>
      </c>
      <c r="L61" s="69">
        <f t="shared" si="0"/>
        <v>1202.1099999999999</v>
      </c>
      <c r="M61" s="273">
        <f t="shared" si="1"/>
        <v>0</v>
      </c>
      <c r="N61" s="71">
        <f t="shared" si="2"/>
        <v>3</v>
      </c>
      <c r="O61" s="72">
        <f t="shared" si="3"/>
        <v>1202.1099999999999</v>
      </c>
      <c r="P61" s="274">
        <f t="shared" si="4"/>
        <v>3606.33</v>
      </c>
      <c r="Q61" s="121">
        <f t="shared" si="5"/>
        <v>3.15</v>
      </c>
      <c r="R61" s="185"/>
      <c r="S61" s="185"/>
      <c r="T61" s="185"/>
    </row>
    <row r="62" spans="2:20" s="121" customFormat="1" ht="16.5" customHeight="1" x14ac:dyDescent="0.2">
      <c r="B62" s="120"/>
      <c r="C62" s="73" t="s">
        <v>233</v>
      </c>
      <c r="D62" s="73" t="s">
        <v>209</v>
      </c>
      <c r="E62" s="74" t="s">
        <v>359</v>
      </c>
      <c r="F62" s="75" t="s">
        <v>360</v>
      </c>
      <c r="G62" s="76" t="s">
        <v>99</v>
      </c>
      <c r="H62" s="77">
        <v>3</v>
      </c>
      <c r="I62" s="78">
        <v>775.98</v>
      </c>
      <c r="J62" s="77">
        <v>2327.9</v>
      </c>
      <c r="K62" s="68">
        <v>0</v>
      </c>
      <c r="L62" s="69">
        <f t="shared" si="0"/>
        <v>775.98</v>
      </c>
      <c r="M62" s="273">
        <f t="shared" si="1"/>
        <v>0</v>
      </c>
      <c r="N62" s="71">
        <f t="shared" si="2"/>
        <v>3</v>
      </c>
      <c r="O62" s="72">
        <f t="shared" si="3"/>
        <v>775.98</v>
      </c>
      <c r="P62" s="274">
        <f t="shared" si="4"/>
        <v>2327.94</v>
      </c>
      <c r="Q62" s="121">
        <f t="shared" si="5"/>
        <v>3.15</v>
      </c>
      <c r="R62" s="185"/>
      <c r="S62" s="185"/>
      <c r="T62" s="185"/>
    </row>
    <row r="63" spans="2:20" s="121" customFormat="1" ht="16.5" customHeight="1" x14ac:dyDescent="0.2">
      <c r="B63" s="120"/>
      <c r="C63" s="73" t="s">
        <v>236</v>
      </c>
      <c r="D63" s="73" t="s">
        <v>209</v>
      </c>
      <c r="E63" s="74" t="s">
        <v>362</v>
      </c>
      <c r="F63" s="75" t="s">
        <v>363</v>
      </c>
      <c r="G63" s="76" t="s">
        <v>99</v>
      </c>
      <c r="H63" s="77">
        <v>12</v>
      </c>
      <c r="I63" s="78">
        <v>211.75</v>
      </c>
      <c r="J63" s="77">
        <v>2541</v>
      </c>
      <c r="K63" s="68">
        <v>0</v>
      </c>
      <c r="L63" s="69">
        <f t="shared" si="0"/>
        <v>211.75</v>
      </c>
      <c r="M63" s="273">
        <f t="shared" si="1"/>
        <v>0</v>
      </c>
      <c r="N63" s="71">
        <f t="shared" si="2"/>
        <v>12</v>
      </c>
      <c r="O63" s="72">
        <f t="shared" si="3"/>
        <v>211.75</v>
      </c>
      <c r="P63" s="274">
        <f t="shared" si="4"/>
        <v>2541</v>
      </c>
      <c r="Q63" s="121">
        <f t="shared" si="5"/>
        <v>12.6</v>
      </c>
      <c r="R63" s="185"/>
      <c r="S63" s="185"/>
      <c r="T63" s="185"/>
    </row>
    <row r="64" spans="2:20" s="121" customFormat="1" ht="16.5" customHeight="1" x14ac:dyDescent="0.2">
      <c r="B64" s="120"/>
      <c r="C64" s="56" t="s">
        <v>239</v>
      </c>
      <c r="D64" s="56" t="s">
        <v>96</v>
      </c>
      <c r="E64" s="57" t="s">
        <v>365</v>
      </c>
      <c r="F64" s="58" t="s">
        <v>366</v>
      </c>
      <c r="G64" s="59" t="s">
        <v>99</v>
      </c>
      <c r="H64" s="60">
        <v>6</v>
      </c>
      <c r="I64" s="61">
        <v>808.86</v>
      </c>
      <c r="J64" s="60">
        <v>4853.2</v>
      </c>
      <c r="K64" s="68">
        <v>0</v>
      </c>
      <c r="L64" s="69">
        <f t="shared" si="0"/>
        <v>808.86</v>
      </c>
      <c r="M64" s="273">
        <f t="shared" si="1"/>
        <v>0</v>
      </c>
      <c r="N64" s="71">
        <f t="shared" si="2"/>
        <v>6</v>
      </c>
      <c r="O64" s="72">
        <f t="shared" si="3"/>
        <v>808.86</v>
      </c>
      <c r="P64" s="274">
        <f t="shared" si="4"/>
        <v>4853.16</v>
      </c>
      <c r="Q64" s="121">
        <f t="shared" si="5"/>
        <v>6.3</v>
      </c>
      <c r="R64" s="185"/>
      <c r="S64" s="185"/>
      <c r="T64" s="185"/>
    </row>
    <row r="65" spans="2:20" s="121" customFormat="1" ht="16.5" customHeight="1" x14ac:dyDescent="0.2">
      <c r="B65" s="120"/>
      <c r="C65" s="73" t="s">
        <v>242</v>
      </c>
      <c r="D65" s="73" t="s">
        <v>209</v>
      </c>
      <c r="E65" s="74" t="s">
        <v>368</v>
      </c>
      <c r="F65" s="75" t="s">
        <v>369</v>
      </c>
      <c r="G65" s="76" t="s">
        <v>99</v>
      </c>
      <c r="H65" s="77">
        <v>5</v>
      </c>
      <c r="I65" s="78">
        <v>1530.92</v>
      </c>
      <c r="J65" s="77">
        <v>7654.6</v>
      </c>
      <c r="K65" s="68">
        <v>0</v>
      </c>
      <c r="L65" s="69">
        <f t="shared" si="0"/>
        <v>1530.92</v>
      </c>
      <c r="M65" s="273">
        <f t="shared" si="1"/>
        <v>0</v>
      </c>
      <c r="N65" s="71">
        <f t="shared" si="2"/>
        <v>5</v>
      </c>
      <c r="O65" s="72">
        <f t="shared" si="3"/>
        <v>1530.92</v>
      </c>
      <c r="P65" s="274">
        <f t="shared" si="4"/>
        <v>7654.6</v>
      </c>
      <c r="Q65" s="121">
        <f t="shared" si="5"/>
        <v>5.25</v>
      </c>
      <c r="R65" s="185"/>
      <c r="S65" s="185"/>
      <c r="T65" s="185"/>
    </row>
    <row r="66" spans="2:20" s="121" customFormat="1" ht="16.5" customHeight="1" x14ac:dyDescent="0.2">
      <c r="B66" s="120"/>
      <c r="C66" s="73" t="s">
        <v>245</v>
      </c>
      <c r="D66" s="73" t="s">
        <v>209</v>
      </c>
      <c r="E66" s="74" t="s">
        <v>503</v>
      </c>
      <c r="F66" s="75" t="s">
        <v>504</v>
      </c>
      <c r="G66" s="76" t="s">
        <v>99</v>
      </c>
      <c r="H66" s="77">
        <v>1</v>
      </c>
      <c r="I66" s="78">
        <v>3205.19</v>
      </c>
      <c r="J66" s="77">
        <v>3205.2</v>
      </c>
      <c r="K66" s="68">
        <v>0</v>
      </c>
      <c r="L66" s="69">
        <f t="shared" si="0"/>
        <v>3205.19</v>
      </c>
      <c r="M66" s="273">
        <f t="shared" si="1"/>
        <v>0</v>
      </c>
      <c r="N66" s="71">
        <f t="shared" si="2"/>
        <v>1</v>
      </c>
      <c r="O66" s="72">
        <f t="shared" si="3"/>
        <v>3205.19</v>
      </c>
      <c r="P66" s="274">
        <f t="shared" si="4"/>
        <v>3205.19</v>
      </c>
      <c r="Q66" s="121">
        <f t="shared" si="5"/>
        <v>1.05</v>
      </c>
      <c r="R66" s="185"/>
      <c r="S66" s="185"/>
      <c r="T66" s="185"/>
    </row>
    <row r="67" spans="2:20" s="121" customFormat="1" ht="16.5" customHeight="1" x14ac:dyDescent="0.2">
      <c r="B67" s="120"/>
      <c r="C67" s="56" t="s">
        <v>248</v>
      </c>
      <c r="D67" s="56" t="s">
        <v>96</v>
      </c>
      <c r="E67" s="57" t="s">
        <v>371</v>
      </c>
      <c r="F67" s="58" t="s">
        <v>372</v>
      </c>
      <c r="G67" s="59" t="s">
        <v>99</v>
      </c>
      <c r="H67" s="60">
        <v>6</v>
      </c>
      <c r="I67" s="61">
        <v>3234.12</v>
      </c>
      <c r="J67" s="60">
        <v>19404.7</v>
      </c>
      <c r="K67" s="68">
        <v>0</v>
      </c>
      <c r="L67" s="69">
        <f t="shared" si="0"/>
        <v>3234.12</v>
      </c>
      <c r="M67" s="273">
        <f t="shared" si="1"/>
        <v>0</v>
      </c>
      <c r="N67" s="71">
        <f t="shared" si="2"/>
        <v>6</v>
      </c>
      <c r="O67" s="72">
        <f t="shared" si="3"/>
        <v>3234.12</v>
      </c>
      <c r="P67" s="274">
        <f t="shared" si="4"/>
        <v>19404.72</v>
      </c>
      <c r="Q67" s="121">
        <f t="shared" si="5"/>
        <v>6.3</v>
      </c>
    </row>
    <row r="68" spans="2:20" s="121" customFormat="1" ht="16.5" customHeight="1" x14ac:dyDescent="0.2">
      <c r="B68" s="120"/>
      <c r="C68" s="73" t="s">
        <v>251</v>
      </c>
      <c r="D68" s="73" t="s">
        <v>209</v>
      </c>
      <c r="E68" s="74" t="s">
        <v>374</v>
      </c>
      <c r="F68" s="75" t="s">
        <v>375</v>
      </c>
      <c r="G68" s="76" t="s">
        <v>99</v>
      </c>
      <c r="H68" s="77">
        <v>6</v>
      </c>
      <c r="I68" s="78">
        <v>14588.41</v>
      </c>
      <c r="J68" s="77">
        <v>87530.5</v>
      </c>
      <c r="K68" s="68">
        <v>0</v>
      </c>
      <c r="L68" s="69">
        <f t="shared" si="0"/>
        <v>14588.41</v>
      </c>
      <c r="M68" s="273">
        <f t="shared" si="1"/>
        <v>0</v>
      </c>
      <c r="N68" s="71">
        <f t="shared" si="2"/>
        <v>6</v>
      </c>
      <c r="O68" s="72">
        <f t="shared" si="3"/>
        <v>14588.41</v>
      </c>
      <c r="P68" s="274">
        <f t="shared" si="4"/>
        <v>87530.459999999992</v>
      </c>
      <c r="Q68" s="121">
        <f t="shared" si="5"/>
        <v>6.3</v>
      </c>
    </row>
    <row r="69" spans="2:20" s="121" customFormat="1" ht="16.5" customHeight="1" x14ac:dyDescent="0.2">
      <c r="B69" s="120"/>
      <c r="C69" s="56" t="s">
        <v>254</v>
      </c>
      <c r="D69" s="56" t="s">
        <v>96</v>
      </c>
      <c r="E69" s="57" t="s">
        <v>377</v>
      </c>
      <c r="F69" s="58" t="s">
        <v>378</v>
      </c>
      <c r="G69" s="59" t="s">
        <v>99</v>
      </c>
      <c r="H69" s="60">
        <v>6</v>
      </c>
      <c r="I69" s="61">
        <v>485.32</v>
      </c>
      <c r="J69" s="60">
        <v>2911.9</v>
      </c>
      <c r="K69" s="68">
        <v>0</v>
      </c>
      <c r="L69" s="69">
        <f t="shared" si="0"/>
        <v>485.32</v>
      </c>
      <c r="M69" s="273">
        <f t="shared" si="1"/>
        <v>0</v>
      </c>
      <c r="N69" s="71">
        <f t="shared" si="2"/>
        <v>6</v>
      </c>
      <c r="O69" s="72">
        <f t="shared" si="3"/>
        <v>485.32</v>
      </c>
      <c r="P69" s="274">
        <f t="shared" si="4"/>
        <v>2911.92</v>
      </c>
      <c r="Q69" s="121">
        <f t="shared" si="5"/>
        <v>6.3</v>
      </c>
    </row>
    <row r="70" spans="2:20" s="121" customFormat="1" ht="16.5" customHeight="1" x14ac:dyDescent="0.2">
      <c r="B70" s="120"/>
      <c r="C70" s="73" t="s">
        <v>258</v>
      </c>
      <c r="D70" s="73" t="s">
        <v>209</v>
      </c>
      <c r="E70" s="74" t="s">
        <v>380</v>
      </c>
      <c r="F70" s="75" t="s">
        <v>381</v>
      </c>
      <c r="G70" s="76" t="s">
        <v>99</v>
      </c>
      <c r="H70" s="77">
        <v>6</v>
      </c>
      <c r="I70" s="78">
        <v>6510.34</v>
      </c>
      <c r="J70" s="77">
        <v>39062</v>
      </c>
      <c r="K70" s="68">
        <v>0</v>
      </c>
      <c r="L70" s="69">
        <f t="shared" si="0"/>
        <v>6510.34</v>
      </c>
      <c r="M70" s="273">
        <f t="shared" si="1"/>
        <v>0</v>
      </c>
      <c r="N70" s="71">
        <f t="shared" si="2"/>
        <v>6</v>
      </c>
      <c r="O70" s="72">
        <f t="shared" si="3"/>
        <v>6510.34</v>
      </c>
      <c r="P70" s="274">
        <f t="shared" si="4"/>
        <v>39062.04</v>
      </c>
      <c r="Q70" s="121">
        <f t="shared" si="5"/>
        <v>6.3</v>
      </c>
    </row>
    <row r="71" spans="2:20" s="121" customFormat="1" ht="16.5" customHeight="1" x14ac:dyDescent="0.2">
      <c r="B71" s="120"/>
      <c r="C71" s="56" t="s">
        <v>261</v>
      </c>
      <c r="D71" s="56" t="s">
        <v>96</v>
      </c>
      <c r="E71" s="57" t="s">
        <v>383</v>
      </c>
      <c r="F71" s="58" t="s">
        <v>384</v>
      </c>
      <c r="G71" s="59" t="s">
        <v>133</v>
      </c>
      <c r="H71" s="60">
        <v>169.48</v>
      </c>
      <c r="I71" s="61">
        <v>9.2100000000000009</v>
      </c>
      <c r="J71" s="60">
        <v>1560.9</v>
      </c>
      <c r="K71" s="68">
        <f t="shared" ref="K71" si="10">ROUND(177.6/178*Q71-Q71,2)</f>
        <v>-0.4</v>
      </c>
      <c r="L71" s="69">
        <f t="shared" si="0"/>
        <v>9.2100000000000009</v>
      </c>
      <c r="M71" s="273">
        <f t="shared" si="1"/>
        <v>-3.6840000000000006</v>
      </c>
      <c r="N71" s="71">
        <f t="shared" si="2"/>
        <v>169.07999999999998</v>
      </c>
      <c r="O71" s="72">
        <f t="shared" si="3"/>
        <v>9.2100000000000009</v>
      </c>
      <c r="P71" s="274">
        <f t="shared" si="4"/>
        <v>1557.2267999999999</v>
      </c>
      <c r="Q71" s="121">
        <f t="shared" si="5"/>
        <v>178</v>
      </c>
      <c r="S71" s="121" t="s">
        <v>919</v>
      </c>
    </row>
    <row r="72" spans="2:20" s="170" customFormat="1" ht="22.9" customHeight="1" x14ac:dyDescent="0.2">
      <c r="B72" s="165"/>
      <c r="C72" s="252"/>
      <c r="D72" s="253" t="s">
        <v>4</v>
      </c>
      <c r="E72" s="254" t="s">
        <v>118</v>
      </c>
      <c r="F72" s="254" t="s">
        <v>385</v>
      </c>
      <c r="G72" s="252"/>
      <c r="H72" s="252"/>
      <c r="I72" s="255"/>
      <c r="J72" s="256">
        <f>+SUBTOTAL(9,J73:J74)</f>
        <v>3897.3999999999996</v>
      </c>
      <c r="K72" s="261"/>
      <c r="L72" s="262"/>
      <c r="M72" s="279">
        <f>SUM(M73:M74)</f>
        <v>0</v>
      </c>
      <c r="N72" s="280"/>
      <c r="O72" s="262"/>
      <c r="P72" s="279">
        <f>SUM(P73:P74)</f>
        <v>3897.3564000000001</v>
      </c>
      <c r="Q72" s="121">
        <f t="shared" si="5"/>
        <v>0</v>
      </c>
    </row>
    <row r="73" spans="2:20" s="121" customFormat="1" ht="16.5" customHeight="1" x14ac:dyDescent="0.2">
      <c r="B73" s="120"/>
      <c r="C73" s="56" t="s">
        <v>264</v>
      </c>
      <c r="D73" s="56" t="s">
        <v>96</v>
      </c>
      <c r="E73" s="57" t="s">
        <v>387</v>
      </c>
      <c r="F73" s="58" t="s">
        <v>388</v>
      </c>
      <c r="G73" s="59" t="s">
        <v>133</v>
      </c>
      <c r="H73" s="60">
        <v>24.36</v>
      </c>
      <c r="I73" s="61">
        <v>87.65</v>
      </c>
      <c r="J73" s="60">
        <v>2135.1999999999998</v>
      </c>
      <c r="K73" s="68">
        <v>0</v>
      </c>
      <c r="L73" s="69">
        <f t="shared" si="0"/>
        <v>87.65</v>
      </c>
      <c r="M73" s="273">
        <f t="shared" si="1"/>
        <v>0</v>
      </c>
      <c r="N73" s="71">
        <f t="shared" si="2"/>
        <v>24.36</v>
      </c>
      <c r="O73" s="72">
        <f t="shared" si="3"/>
        <v>87.65</v>
      </c>
      <c r="P73" s="274">
        <f t="shared" si="4"/>
        <v>2135.154</v>
      </c>
      <c r="Q73" s="121">
        <f t="shared" si="5"/>
        <v>25.58</v>
      </c>
    </row>
    <row r="74" spans="2:20" s="121" customFormat="1" ht="16.5" customHeight="1" x14ac:dyDescent="0.2">
      <c r="B74" s="120"/>
      <c r="C74" s="56" t="s">
        <v>267</v>
      </c>
      <c r="D74" s="56" t="s">
        <v>96</v>
      </c>
      <c r="E74" s="57" t="s">
        <v>390</v>
      </c>
      <c r="F74" s="58" t="s">
        <v>391</v>
      </c>
      <c r="G74" s="59" t="s">
        <v>133</v>
      </c>
      <c r="H74" s="60">
        <v>24.36</v>
      </c>
      <c r="I74" s="61">
        <v>72.34</v>
      </c>
      <c r="J74" s="60">
        <v>1762.2</v>
      </c>
      <c r="K74" s="68">
        <v>0</v>
      </c>
      <c r="L74" s="69">
        <f t="shared" si="0"/>
        <v>72.34</v>
      </c>
      <c r="M74" s="273">
        <f t="shared" si="1"/>
        <v>0</v>
      </c>
      <c r="N74" s="71">
        <f t="shared" si="2"/>
        <v>24.36</v>
      </c>
      <c r="O74" s="72">
        <f t="shared" si="3"/>
        <v>72.34</v>
      </c>
      <c r="P74" s="274">
        <f t="shared" si="4"/>
        <v>1762.2024000000001</v>
      </c>
      <c r="Q74" s="121">
        <f t="shared" si="5"/>
        <v>25.58</v>
      </c>
    </row>
    <row r="75" spans="2:20" s="170" customFormat="1" ht="22.9" customHeight="1" x14ac:dyDescent="0.2">
      <c r="B75" s="165"/>
      <c r="C75" s="252"/>
      <c r="D75" s="253" t="s">
        <v>4</v>
      </c>
      <c r="E75" s="254" t="s">
        <v>398</v>
      </c>
      <c r="F75" s="254" t="s">
        <v>399</v>
      </c>
      <c r="G75" s="252"/>
      <c r="H75" s="252"/>
      <c r="I75" s="255"/>
      <c r="J75" s="256">
        <f>+SUBTOTAL(9,J76:J78)</f>
        <v>4954.8</v>
      </c>
      <c r="K75" s="261"/>
      <c r="L75" s="262"/>
      <c r="M75" s="279">
        <f>SUM(M76:M78)</f>
        <v>-7.0588999999999995</v>
      </c>
      <c r="N75" s="280"/>
      <c r="O75" s="262"/>
      <c r="P75" s="279">
        <f>SUM(P76:P78)</f>
        <v>4947.7440999999999</v>
      </c>
      <c r="Q75" s="121">
        <f t="shared" si="5"/>
        <v>0</v>
      </c>
    </row>
    <row r="76" spans="2:20" s="121" customFormat="1" ht="16.5" customHeight="1" x14ac:dyDescent="0.2">
      <c r="B76" s="120"/>
      <c r="C76" s="56" t="s">
        <v>270</v>
      </c>
      <c r="D76" s="56" t="s">
        <v>96</v>
      </c>
      <c r="E76" s="57" t="s">
        <v>401</v>
      </c>
      <c r="F76" s="58" t="s">
        <v>402</v>
      </c>
      <c r="G76" s="59" t="s">
        <v>201</v>
      </c>
      <c r="H76" s="60">
        <v>12.6</v>
      </c>
      <c r="I76" s="61">
        <v>183.74</v>
      </c>
      <c r="J76" s="60">
        <v>2315.1</v>
      </c>
      <c r="K76" s="68">
        <f t="shared" ref="K76" si="11">ROUND(177.6/178*Q76-Q76,2)</f>
        <v>-0.03</v>
      </c>
      <c r="L76" s="69">
        <f t="shared" si="0"/>
        <v>183.74</v>
      </c>
      <c r="M76" s="273">
        <f t="shared" si="1"/>
        <v>-5.5122</v>
      </c>
      <c r="N76" s="71">
        <f t="shared" si="2"/>
        <v>12.57</v>
      </c>
      <c r="O76" s="72">
        <f t="shared" si="3"/>
        <v>183.74</v>
      </c>
      <c r="P76" s="274">
        <f t="shared" si="4"/>
        <v>2309.6118000000001</v>
      </c>
      <c r="Q76" s="121">
        <f t="shared" si="5"/>
        <v>13.23</v>
      </c>
    </row>
    <row r="77" spans="2:20" s="121" customFormat="1" ht="16.5" customHeight="1" x14ac:dyDescent="0.2">
      <c r="B77" s="120"/>
      <c r="C77" s="56" t="s">
        <v>273</v>
      </c>
      <c r="D77" s="56" t="s">
        <v>96</v>
      </c>
      <c r="E77" s="57" t="s">
        <v>407</v>
      </c>
      <c r="F77" s="58" t="s">
        <v>408</v>
      </c>
      <c r="G77" s="59" t="s">
        <v>201</v>
      </c>
      <c r="H77" s="60">
        <v>6.7</v>
      </c>
      <c r="I77" s="61">
        <v>257.77999999999997</v>
      </c>
      <c r="J77" s="60">
        <v>1727.1</v>
      </c>
      <c r="K77" s="68">
        <v>0</v>
      </c>
      <c r="L77" s="69">
        <f t="shared" si="0"/>
        <v>257.77999999999997</v>
      </c>
      <c r="M77" s="273">
        <f t="shared" si="1"/>
        <v>0</v>
      </c>
      <c r="N77" s="71">
        <f t="shared" si="2"/>
        <v>6.7</v>
      </c>
      <c r="O77" s="72">
        <f t="shared" si="3"/>
        <v>257.77999999999997</v>
      </c>
      <c r="P77" s="274">
        <f t="shared" si="4"/>
        <v>1727.126</v>
      </c>
      <c r="Q77" s="121">
        <f t="shared" si="5"/>
        <v>7.04</v>
      </c>
    </row>
    <row r="78" spans="2:20" s="121" customFormat="1" ht="16.5" customHeight="1" x14ac:dyDescent="0.2">
      <c r="B78" s="120"/>
      <c r="C78" s="56" t="s">
        <v>276</v>
      </c>
      <c r="D78" s="56" t="s">
        <v>96</v>
      </c>
      <c r="E78" s="57" t="s">
        <v>410</v>
      </c>
      <c r="F78" s="58" t="s">
        <v>411</v>
      </c>
      <c r="G78" s="59" t="s">
        <v>201</v>
      </c>
      <c r="H78" s="60">
        <v>5.9</v>
      </c>
      <c r="I78" s="61">
        <v>154.66999999999999</v>
      </c>
      <c r="J78" s="60">
        <v>912.6</v>
      </c>
      <c r="K78" s="68">
        <f t="shared" ref="K78" si="12">ROUND(177.6/178*Q78-Q78,2)</f>
        <v>-0.01</v>
      </c>
      <c r="L78" s="69">
        <f t="shared" si="0"/>
        <v>154.66999999999999</v>
      </c>
      <c r="M78" s="273">
        <f t="shared" si="1"/>
        <v>-1.5467</v>
      </c>
      <c r="N78" s="71">
        <f t="shared" si="2"/>
        <v>5.8900000000000006</v>
      </c>
      <c r="O78" s="72">
        <f t="shared" si="3"/>
        <v>154.66999999999999</v>
      </c>
      <c r="P78" s="274">
        <f t="shared" si="4"/>
        <v>911.00630000000001</v>
      </c>
      <c r="Q78" s="121">
        <f t="shared" si="5"/>
        <v>6.2</v>
      </c>
    </row>
    <row r="79" spans="2:20" s="170" customFormat="1" ht="22.9" customHeight="1" x14ac:dyDescent="0.2">
      <c r="B79" s="165"/>
      <c r="C79" s="252"/>
      <c r="D79" s="253" t="s">
        <v>4</v>
      </c>
      <c r="E79" s="254" t="s">
        <v>412</v>
      </c>
      <c r="F79" s="254" t="s">
        <v>413</v>
      </c>
      <c r="G79" s="252"/>
      <c r="H79" s="252"/>
      <c r="I79" s="255"/>
      <c r="J79" s="256">
        <f>+SUBTOTAL(9,J80)</f>
        <v>33750.5</v>
      </c>
      <c r="K79" s="261"/>
      <c r="L79" s="262"/>
      <c r="M79" s="279">
        <f>M80</f>
        <v>-80.093999999999994</v>
      </c>
      <c r="N79" s="280"/>
      <c r="O79" s="262"/>
      <c r="P79" s="279">
        <f>P80</f>
        <v>33670.373400000004</v>
      </c>
      <c r="Q79" s="121">
        <f t="shared" si="5"/>
        <v>0</v>
      </c>
    </row>
    <row r="80" spans="2:20" s="121" customFormat="1" ht="16.5" customHeight="1" x14ac:dyDescent="0.2">
      <c r="B80" s="120"/>
      <c r="C80" s="56" t="s">
        <v>279</v>
      </c>
      <c r="D80" s="56" t="s">
        <v>96</v>
      </c>
      <c r="E80" s="57" t="s">
        <v>415</v>
      </c>
      <c r="F80" s="58" t="s">
        <v>416</v>
      </c>
      <c r="G80" s="59" t="s">
        <v>201</v>
      </c>
      <c r="H80" s="60">
        <v>294.97000000000003</v>
      </c>
      <c r="I80" s="61">
        <v>114.42</v>
      </c>
      <c r="J80" s="60">
        <v>33750.5</v>
      </c>
      <c r="K80" s="68">
        <f t="shared" ref="K80" si="13">ROUND(177.6/178*Q80-Q80,2)</f>
        <v>-0.7</v>
      </c>
      <c r="L80" s="69">
        <f t="shared" ref="L80" si="14">I80</f>
        <v>114.42</v>
      </c>
      <c r="M80" s="273">
        <f t="shared" ref="M80" si="15">K80*L80</f>
        <v>-80.093999999999994</v>
      </c>
      <c r="N80" s="71">
        <f t="shared" ref="N80" si="16">H80+K80</f>
        <v>294.27000000000004</v>
      </c>
      <c r="O80" s="72">
        <f t="shared" ref="O80" si="17">I80</f>
        <v>114.42</v>
      </c>
      <c r="P80" s="274">
        <f t="shared" ref="P80" si="18">N80*O80</f>
        <v>33670.373400000004</v>
      </c>
      <c r="Q80" s="121">
        <f t="shared" ref="Q80" si="19">ROUND(178/169.48*H80,2)</f>
        <v>309.8</v>
      </c>
    </row>
    <row r="81" spans="2:16" s="121" customFormat="1" ht="6.95" customHeight="1" x14ac:dyDescent="0.2">
      <c r="B81" s="120"/>
      <c r="C81" s="120"/>
      <c r="D81" s="120"/>
      <c r="E81" s="120"/>
      <c r="F81" s="120"/>
      <c r="G81" s="120"/>
      <c r="H81" s="120"/>
      <c r="I81" s="153"/>
      <c r="J81" s="120"/>
    </row>
    <row r="82" spans="2:16" ht="18" customHeight="1" x14ac:dyDescent="0.2">
      <c r="D82" s="42"/>
      <c r="E82" s="43" t="s">
        <v>905</v>
      </c>
      <c r="F82" s="44"/>
      <c r="G82" s="44"/>
      <c r="H82" s="45"/>
      <c r="I82" s="44"/>
      <c r="J82" s="46">
        <f>ROUND(SUBTOTAL(9,J12:J80),2)</f>
        <v>1232518.8999999999</v>
      </c>
      <c r="K82" s="49"/>
      <c r="L82" s="46"/>
      <c r="M82" s="281">
        <f>M79+M75+M72+M50+M44+M37+M34+M14</f>
        <v>-2330.8968</v>
      </c>
      <c r="N82" s="49"/>
      <c r="O82" s="46"/>
      <c r="P82" s="281">
        <f>P79+P75+P72+P50+P44+P37+P34+P14</f>
        <v>1230187.8164999997</v>
      </c>
    </row>
    <row r="83" spans="2:16" ht="12.75" x14ac:dyDescent="0.2">
      <c r="H83" s="50"/>
      <c r="I83" s="8"/>
      <c r="J83" s="9"/>
    </row>
    <row r="84" spans="2:16" ht="14.25" x14ac:dyDescent="0.2">
      <c r="E84" s="6" t="s">
        <v>849</v>
      </c>
      <c r="F84" s="6"/>
      <c r="G84" s="320" t="s">
        <v>1224</v>
      </c>
      <c r="H84" s="50"/>
      <c r="I84" s="8"/>
      <c r="J84" s="6"/>
      <c r="K84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80" xr:uid="{00000000-0009-0000-0000-00001E000000}"/>
  <mergeCells count="2">
    <mergeCell ref="K9:M9"/>
    <mergeCell ref="N9:P9"/>
  </mergeCells>
  <conditionalFormatting sqref="G84:I84 L84:P84">
    <cfRule type="cellIs" dxfId="342" priority="4" operator="lessThan">
      <formula>0</formula>
    </cfRule>
  </conditionalFormatting>
  <conditionalFormatting sqref="G84:I84 L84:M84">
    <cfRule type="cellIs" dxfId="341" priority="3" operator="lessThan">
      <formula>0</formula>
    </cfRule>
  </conditionalFormatting>
  <conditionalFormatting sqref="G84:I84">
    <cfRule type="cellIs" dxfId="340" priority="2" operator="lessThan">
      <formula>0</formula>
    </cfRule>
  </conditionalFormatting>
  <conditionalFormatting sqref="G84:I84">
    <cfRule type="cellIs" dxfId="339" priority="1" operator="lessThan">
      <formula>0</formula>
    </cfRule>
  </conditionalFormatting>
  <pageMargins left="0.39370078740157483" right="0.39370078740157483" top="0.39370078740157483" bottom="0.39370078740157483" header="0.24" footer="0"/>
  <pageSetup paperSize="9" scale="62" fitToHeight="0" orientation="landscape" r:id="rId1"/>
  <headerFooter>
    <oddFooter>&amp;CStrana &amp;P z &amp;N</oddFooter>
  </headerFooter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pageSetUpPr fitToPage="1"/>
  </sheetPr>
  <dimension ref="B1:Q72"/>
  <sheetViews>
    <sheetView showGridLines="0" view="pageBreakPreview" topLeftCell="A44" zoomScale="60" zoomScaleNormal="90" workbookViewId="0">
      <selection activeCell="M59" sqref="M59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13" style="8" customWidth="1"/>
    <col min="12" max="12" width="14.5" style="8" bestFit="1" customWidth="1"/>
    <col min="13" max="13" width="18.5" style="8" customWidth="1"/>
    <col min="14" max="14" width="13" style="8" customWidth="1"/>
    <col min="15" max="15" width="16.6640625" style="8" bestFit="1" customWidth="1"/>
    <col min="16" max="16" width="16.33203125" style="8" bestFit="1" customWidth="1"/>
    <col min="17" max="17" width="25.33203125" style="8" customWidth="1"/>
    <col min="18" max="16384" width="9.33203125" style="8"/>
  </cols>
  <sheetData>
    <row r="1" spans="2:17" ht="18.95" customHeight="1" x14ac:dyDescent="0.2">
      <c r="F1" s="11"/>
      <c r="G1" s="89"/>
      <c r="H1" s="88"/>
      <c r="I1" s="8"/>
      <c r="J1" s="9"/>
    </row>
    <row r="2" spans="2:17" s="88" customFormat="1" ht="18" customHeight="1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17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17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17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17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17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17" s="14" customFormat="1" ht="18" customHeight="1" x14ac:dyDescent="0.2">
      <c r="D8" s="146"/>
      <c r="F8" s="11"/>
      <c r="G8" s="105"/>
      <c r="H8" s="145"/>
      <c r="K8" s="149" t="s">
        <v>851</v>
      </c>
      <c r="L8" s="180" t="str">
        <f>+C12</f>
        <v>E - Stoka E</v>
      </c>
      <c r="M8" s="180"/>
      <c r="O8" s="151"/>
    </row>
    <row r="9" spans="2:17" s="15" customFormat="1" ht="20.100000000000001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</row>
    <row r="10" spans="2:17" s="15" customFormat="1" ht="24" customHeight="1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</row>
    <row r="11" spans="2:17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17" s="121" customFormat="1" ht="22.9" customHeight="1" x14ac:dyDescent="0.25">
      <c r="B12" s="120"/>
      <c r="C12" s="152" t="s">
        <v>505</v>
      </c>
      <c r="D12" s="120"/>
      <c r="E12" s="120"/>
      <c r="F12" s="120"/>
      <c r="G12" s="120"/>
      <c r="H12" s="120"/>
      <c r="I12" s="153"/>
      <c r="J12" s="154">
        <f>+SUBTOTAL(9,J13:J68)</f>
        <v>214892.3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17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+SUBTOTAL(9,J14:J68)</f>
        <v>214892.3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17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+SUBTOTAL(9,J15:J33)</f>
        <v>88943.900000000009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SUM(M15:M33)</f>
        <v>-75813.807467008999</v>
      </c>
      <c r="N14" s="278" t="str">
        <f>IF(ISBLANK(H14),"",H14-K14)</f>
        <v/>
      </c>
      <c r="O14" s="272" t="str">
        <f>IF(ISBLANK(H14),"",J14-L14)</f>
        <v/>
      </c>
      <c r="P14" s="272">
        <f>SUM(P15:P33)</f>
        <v>13130.175232991014</v>
      </c>
      <c r="Q14" s="218" t="s">
        <v>1216</v>
      </c>
    </row>
    <row r="15" spans="2:17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16.61</v>
      </c>
      <c r="I15" s="61">
        <v>40.770000000000003</v>
      </c>
      <c r="J15" s="60">
        <v>677.2</v>
      </c>
      <c r="K15" s="68">
        <v>-14.16</v>
      </c>
      <c r="L15" s="69">
        <f>I15</f>
        <v>40.770000000000003</v>
      </c>
      <c r="M15" s="273">
        <f>K15*L15</f>
        <v>-577.30320000000006</v>
      </c>
      <c r="N15" s="71">
        <f>H15+K15</f>
        <v>2.4499999999999993</v>
      </c>
      <c r="O15" s="72">
        <f>I15</f>
        <v>40.770000000000003</v>
      </c>
      <c r="P15" s="274">
        <f>N15*O15</f>
        <v>99.886499999999984</v>
      </c>
      <c r="Q15" s="121">
        <f>ROUND(19/15.58*H15,2)</f>
        <v>20.260000000000002</v>
      </c>
    </row>
    <row r="16" spans="2:17" s="121" customFormat="1" ht="16.5" customHeight="1" x14ac:dyDescent="0.2">
      <c r="B16" s="120"/>
      <c r="C16" s="56" t="s">
        <v>13</v>
      </c>
      <c r="D16" s="56" t="s">
        <v>96</v>
      </c>
      <c r="E16" s="57" t="s">
        <v>119</v>
      </c>
      <c r="F16" s="58" t="s">
        <v>120</v>
      </c>
      <c r="G16" s="59" t="s">
        <v>108</v>
      </c>
      <c r="H16" s="60">
        <v>16.61</v>
      </c>
      <c r="I16" s="61">
        <v>53.92</v>
      </c>
      <c r="J16" s="60">
        <v>895.6</v>
      </c>
      <c r="K16" s="68">
        <v>-14.16</v>
      </c>
      <c r="L16" s="69">
        <f t="shared" ref="L16:L68" si="0">I16</f>
        <v>53.92</v>
      </c>
      <c r="M16" s="273">
        <f t="shared" ref="M16:M68" si="1">K16*L16</f>
        <v>-763.50720000000001</v>
      </c>
      <c r="N16" s="71">
        <f t="shared" ref="N16:N68" si="2">H16+K16</f>
        <v>2.4499999999999993</v>
      </c>
      <c r="O16" s="72">
        <f t="shared" ref="O16:O68" si="3">I16</f>
        <v>53.92</v>
      </c>
      <c r="P16" s="274">
        <f t="shared" ref="P16:P68" si="4">N16*O16</f>
        <v>132.10399999999996</v>
      </c>
      <c r="Q16" s="121">
        <f t="shared" ref="Q16:Q68" si="5">ROUND(19/15.58*H16,2)</f>
        <v>20.260000000000002</v>
      </c>
    </row>
    <row r="17" spans="2:17" s="121" customFormat="1" ht="16.5" customHeight="1" x14ac:dyDescent="0.2">
      <c r="B17" s="120"/>
      <c r="C17" s="56" t="s">
        <v>100</v>
      </c>
      <c r="D17" s="56" t="s">
        <v>96</v>
      </c>
      <c r="E17" s="57" t="s">
        <v>148</v>
      </c>
      <c r="F17" s="58" t="s">
        <v>149</v>
      </c>
      <c r="G17" s="59" t="s">
        <v>150</v>
      </c>
      <c r="H17" s="60">
        <v>1.72</v>
      </c>
      <c r="I17" s="61">
        <v>38.14</v>
      </c>
      <c r="J17" s="60">
        <v>65.599999999999994</v>
      </c>
      <c r="K17" s="68">
        <f>2.3/15.58*H17-H17</f>
        <v>-1.4660847240051349</v>
      </c>
      <c r="L17" s="69">
        <f t="shared" si="0"/>
        <v>38.14</v>
      </c>
      <c r="M17" s="273">
        <f t="shared" si="1"/>
        <v>-55.916471373555844</v>
      </c>
      <c r="N17" s="71">
        <f t="shared" si="2"/>
        <v>0.25391527599486508</v>
      </c>
      <c r="O17" s="72">
        <f t="shared" si="3"/>
        <v>38.14</v>
      </c>
      <c r="P17" s="274">
        <f t="shared" si="4"/>
        <v>9.6843286264441542</v>
      </c>
      <c r="Q17" s="121">
        <f t="shared" si="5"/>
        <v>2.1</v>
      </c>
    </row>
    <row r="18" spans="2:17" s="121" customFormat="1" ht="16.5" customHeight="1" x14ac:dyDescent="0.2">
      <c r="B18" s="120"/>
      <c r="C18" s="56" t="s">
        <v>105</v>
      </c>
      <c r="D18" s="56" t="s">
        <v>96</v>
      </c>
      <c r="E18" s="57" t="s">
        <v>157</v>
      </c>
      <c r="F18" s="58" t="s">
        <v>158</v>
      </c>
      <c r="G18" s="59" t="s">
        <v>150</v>
      </c>
      <c r="H18" s="60">
        <v>11.07</v>
      </c>
      <c r="I18" s="61">
        <v>257.77999999999997</v>
      </c>
      <c r="J18" s="60">
        <v>2853.6</v>
      </c>
      <c r="K18" s="68">
        <f t="shared" ref="K18:K33" si="6">2.3/15.58*H18-H18</f>
        <v>-9.4357894736842116</v>
      </c>
      <c r="L18" s="69">
        <f t="shared" si="0"/>
        <v>257.77999999999997</v>
      </c>
      <c r="M18" s="273">
        <f t="shared" si="1"/>
        <v>-2432.3578105263159</v>
      </c>
      <c r="N18" s="71">
        <f t="shared" si="2"/>
        <v>1.6342105263157887</v>
      </c>
      <c r="O18" s="72">
        <f t="shared" si="3"/>
        <v>257.77999999999997</v>
      </c>
      <c r="P18" s="274">
        <f t="shared" si="4"/>
        <v>421.26678947368396</v>
      </c>
      <c r="Q18" s="121">
        <f t="shared" si="5"/>
        <v>13.5</v>
      </c>
    </row>
    <row r="19" spans="2:17" s="121" customFormat="1" ht="16.5" customHeight="1" x14ac:dyDescent="0.2">
      <c r="B19" s="120"/>
      <c r="C19" s="56" t="s">
        <v>109</v>
      </c>
      <c r="D19" s="56" t="s">
        <v>96</v>
      </c>
      <c r="E19" s="57" t="s">
        <v>160</v>
      </c>
      <c r="F19" s="58" t="s">
        <v>161</v>
      </c>
      <c r="G19" s="59" t="s">
        <v>150</v>
      </c>
      <c r="H19" s="60">
        <v>3.32</v>
      </c>
      <c r="I19" s="61">
        <v>13.15</v>
      </c>
      <c r="J19" s="60">
        <v>43.7</v>
      </c>
      <c r="K19" s="68">
        <f t="shared" si="6"/>
        <v>-2.8298844672657251</v>
      </c>
      <c r="L19" s="69">
        <f t="shared" si="0"/>
        <v>13.15</v>
      </c>
      <c r="M19" s="273">
        <f t="shared" si="1"/>
        <v>-37.212980744544282</v>
      </c>
      <c r="N19" s="71">
        <f t="shared" si="2"/>
        <v>0.49011553273427477</v>
      </c>
      <c r="O19" s="72">
        <f t="shared" si="3"/>
        <v>13.15</v>
      </c>
      <c r="P19" s="274">
        <f t="shared" si="4"/>
        <v>6.4450192554557137</v>
      </c>
      <c r="Q19" s="121">
        <f t="shared" si="5"/>
        <v>4.05</v>
      </c>
    </row>
    <row r="20" spans="2:17" s="121" customFormat="1" ht="16.5" customHeight="1" x14ac:dyDescent="0.2">
      <c r="B20" s="120"/>
      <c r="C20" s="56" t="s">
        <v>112</v>
      </c>
      <c r="D20" s="56" t="s">
        <v>96</v>
      </c>
      <c r="E20" s="57" t="s">
        <v>163</v>
      </c>
      <c r="F20" s="58" t="s">
        <v>164</v>
      </c>
      <c r="G20" s="59" t="s">
        <v>150</v>
      </c>
      <c r="H20" s="60">
        <v>17.27</v>
      </c>
      <c r="I20" s="61">
        <v>315.64999999999998</v>
      </c>
      <c r="J20" s="60">
        <v>5451.3</v>
      </c>
      <c r="K20" s="68">
        <f t="shared" si="6"/>
        <v>-14.720513478818999</v>
      </c>
      <c r="L20" s="69">
        <f t="shared" si="0"/>
        <v>315.64999999999998</v>
      </c>
      <c r="M20" s="273">
        <f t="shared" si="1"/>
        <v>-4646.5300795892172</v>
      </c>
      <c r="N20" s="71">
        <f t="shared" si="2"/>
        <v>2.5494865211810005</v>
      </c>
      <c r="O20" s="72">
        <f t="shared" si="3"/>
        <v>315.64999999999998</v>
      </c>
      <c r="P20" s="274">
        <f t="shared" si="4"/>
        <v>804.7454204107828</v>
      </c>
      <c r="Q20" s="121">
        <f t="shared" si="5"/>
        <v>21.06</v>
      </c>
    </row>
    <row r="21" spans="2:17" s="121" customFormat="1" ht="16.5" customHeight="1" x14ac:dyDescent="0.2">
      <c r="B21" s="120"/>
      <c r="C21" s="56" t="s">
        <v>115</v>
      </c>
      <c r="D21" s="56" t="s">
        <v>96</v>
      </c>
      <c r="E21" s="57" t="s">
        <v>166</v>
      </c>
      <c r="F21" s="58" t="s">
        <v>167</v>
      </c>
      <c r="G21" s="59" t="s">
        <v>150</v>
      </c>
      <c r="H21" s="60">
        <v>5.18</v>
      </c>
      <c r="I21" s="61">
        <v>15.78</v>
      </c>
      <c r="J21" s="60">
        <v>81.7</v>
      </c>
      <c r="K21" s="68">
        <f t="shared" si="6"/>
        <v>-4.4153016688061619</v>
      </c>
      <c r="L21" s="69">
        <f t="shared" si="0"/>
        <v>15.78</v>
      </c>
      <c r="M21" s="273">
        <f t="shared" si="1"/>
        <v>-69.673460333761227</v>
      </c>
      <c r="N21" s="71">
        <f t="shared" si="2"/>
        <v>0.76469833119383779</v>
      </c>
      <c r="O21" s="72">
        <f t="shared" si="3"/>
        <v>15.78</v>
      </c>
      <c r="P21" s="274">
        <f t="shared" si="4"/>
        <v>12.06693966623876</v>
      </c>
      <c r="Q21" s="121">
        <f t="shared" si="5"/>
        <v>6.32</v>
      </c>
    </row>
    <row r="22" spans="2:17" s="121" customFormat="1" ht="16.5" customHeight="1" x14ac:dyDescent="0.2">
      <c r="B22" s="120"/>
      <c r="C22" s="56" t="s">
        <v>118</v>
      </c>
      <c r="D22" s="56" t="s">
        <v>96</v>
      </c>
      <c r="E22" s="57" t="s">
        <v>169</v>
      </c>
      <c r="F22" s="58" t="s">
        <v>170</v>
      </c>
      <c r="G22" s="59" t="s">
        <v>150</v>
      </c>
      <c r="H22" s="60">
        <v>29.61</v>
      </c>
      <c r="I22" s="61">
        <v>837.79</v>
      </c>
      <c r="J22" s="60">
        <v>24807</v>
      </c>
      <c r="K22" s="68">
        <f t="shared" si="6"/>
        <v>-25.238818998716305</v>
      </c>
      <c r="L22" s="69">
        <f t="shared" si="0"/>
        <v>837.79</v>
      </c>
      <c r="M22" s="273">
        <f t="shared" si="1"/>
        <v>-21144.830168934532</v>
      </c>
      <c r="N22" s="71">
        <f t="shared" si="2"/>
        <v>4.3711810012836949</v>
      </c>
      <c r="O22" s="72">
        <f t="shared" si="3"/>
        <v>837.79</v>
      </c>
      <c r="P22" s="274">
        <f t="shared" si="4"/>
        <v>3662.1317310654667</v>
      </c>
      <c r="Q22" s="121">
        <f t="shared" si="5"/>
        <v>36.11</v>
      </c>
    </row>
    <row r="23" spans="2:17" s="121" customFormat="1" ht="16.5" customHeight="1" x14ac:dyDescent="0.2">
      <c r="B23" s="120"/>
      <c r="C23" s="56" t="s">
        <v>121</v>
      </c>
      <c r="D23" s="56" t="s">
        <v>96</v>
      </c>
      <c r="E23" s="57" t="s">
        <v>175</v>
      </c>
      <c r="F23" s="58" t="s">
        <v>176</v>
      </c>
      <c r="G23" s="59" t="s">
        <v>108</v>
      </c>
      <c r="H23" s="60">
        <v>86.43</v>
      </c>
      <c r="I23" s="61">
        <v>99.96</v>
      </c>
      <c r="J23" s="60">
        <v>8639.5</v>
      </c>
      <c r="K23" s="68">
        <f t="shared" si="6"/>
        <v>-73.670757381258028</v>
      </c>
      <c r="L23" s="69">
        <f t="shared" si="0"/>
        <v>99.96</v>
      </c>
      <c r="M23" s="273">
        <f t="shared" si="1"/>
        <v>-7364.1289078305517</v>
      </c>
      <c r="N23" s="71">
        <f t="shared" si="2"/>
        <v>12.759242618741979</v>
      </c>
      <c r="O23" s="72">
        <f t="shared" si="3"/>
        <v>99.96</v>
      </c>
      <c r="P23" s="274">
        <f t="shared" si="4"/>
        <v>1275.4138921694482</v>
      </c>
      <c r="Q23" s="121">
        <f t="shared" si="5"/>
        <v>105.4</v>
      </c>
    </row>
    <row r="24" spans="2:17" s="121" customFormat="1" ht="16.5" customHeight="1" x14ac:dyDescent="0.2">
      <c r="B24" s="120"/>
      <c r="C24" s="56" t="s">
        <v>124</v>
      </c>
      <c r="D24" s="56" t="s">
        <v>96</v>
      </c>
      <c r="E24" s="57" t="s">
        <v>181</v>
      </c>
      <c r="F24" s="58" t="s">
        <v>182</v>
      </c>
      <c r="G24" s="59" t="s">
        <v>108</v>
      </c>
      <c r="H24" s="60">
        <v>86.43</v>
      </c>
      <c r="I24" s="61">
        <v>149.94</v>
      </c>
      <c r="J24" s="60">
        <v>12959.3</v>
      </c>
      <c r="K24" s="68">
        <f t="shared" si="6"/>
        <v>-73.670757381258028</v>
      </c>
      <c r="L24" s="69">
        <f t="shared" si="0"/>
        <v>149.94</v>
      </c>
      <c r="M24" s="273">
        <f t="shared" si="1"/>
        <v>-11046.193361745829</v>
      </c>
      <c r="N24" s="71">
        <f t="shared" si="2"/>
        <v>12.759242618741979</v>
      </c>
      <c r="O24" s="72">
        <f t="shared" si="3"/>
        <v>149.94</v>
      </c>
      <c r="P24" s="274">
        <f t="shared" si="4"/>
        <v>1913.1208382541722</v>
      </c>
      <c r="Q24" s="121">
        <f t="shared" si="5"/>
        <v>105.4</v>
      </c>
    </row>
    <row r="25" spans="2:17" s="121" customFormat="1" ht="16.5" customHeight="1" x14ac:dyDescent="0.2">
      <c r="B25" s="120"/>
      <c r="C25" s="56" t="s">
        <v>127</v>
      </c>
      <c r="D25" s="56" t="s">
        <v>96</v>
      </c>
      <c r="E25" s="57" t="s">
        <v>187</v>
      </c>
      <c r="F25" s="58" t="s">
        <v>188</v>
      </c>
      <c r="G25" s="59" t="s">
        <v>150</v>
      </c>
      <c r="H25" s="60">
        <v>95.49</v>
      </c>
      <c r="I25" s="61">
        <v>97.81</v>
      </c>
      <c r="J25" s="60">
        <v>9339.9</v>
      </c>
      <c r="K25" s="68">
        <f t="shared" si="6"/>
        <v>-81.393273427471115</v>
      </c>
      <c r="L25" s="69">
        <f t="shared" si="0"/>
        <v>97.81</v>
      </c>
      <c r="M25" s="273">
        <f t="shared" si="1"/>
        <v>-7961.0760739409498</v>
      </c>
      <c r="N25" s="71">
        <f t="shared" si="2"/>
        <v>14.09672657252888</v>
      </c>
      <c r="O25" s="72">
        <f t="shared" si="3"/>
        <v>97.81</v>
      </c>
      <c r="P25" s="274">
        <f t="shared" si="4"/>
        <v>1378.8008260590498</v>
      </c>
      <c r="Q25" s="121">
        <f t="shared" si="5"/>
        <v>116.45</v>
      </c>
    </row>
    <row r="26" spans="2:17" s="185" customFormat="1" ht="16.5" customHeight="1" x14ac:dyDescent="0.2">
      <c r="B26" s="302"/>
      <c r="C26" s="303" t="s">
        <v>130</v>
      </c>
      <c r="D26" s="303" t="s">
        <v>96</v>
      </c>
      <c r="E26" s="304" t="s">
        <v>190</v>
      </c>
      <c r="F26" s="305" t="s">
        <v>191</v>
      </c>
      <c r="G26" s="306" t="s">
        <v>150</v>
      </c>
      <c r="H26" s="307">
        <v>20.25</v>
      </c>
      <c r="I26" s="308">
        <v>247.39</v>
      </c>
      <c r="J26" s="307">
        <v>5009.6000000000004</v>
      </c>
      <c r="K26" s="68">
        <f t="shared" si="6"/>
        <v>-17.26059050064185</v>
      </c>
      <c r="L26" s="309">
        <f t="shared" si="0"/>
        <v>247.39</v>
      </c>
      <c r="M26" s="310">
        <f t="shared" si="1"/>
        <v>-4270.0974839537876</v>
      </c>
      <c r="N26" s="311">
        <f t="shared" si="2"/>
        <v>2.9894094993581497</v>
      </c>
      <c r="O26" s="312">
        <f t="shared" si="3"/>
        <v>247.39</v>
      </c>
      <c r="P26" s="313">
        <f t="shared" si="4"/>
        <v>739.55001604621259</v>
      </c>
      <c r="Q26" s="185">
        <f t="shared" si="5"/>
        <v>24.7</v>
      </c>
    </row>
    <row r="27" spans="2:17" s="121" customFormat="1" ht="16.5" customHeight="1" x14ac:dyDescent="0.2">
      <c r="B27" s="120"/>
      <c r="C27" s="56" t="s">
        <v>134</v>
      </c>
      <c r="D27" s="56" t="s">
        <v>96</v>
      </c>
      <c r="E27" s="57" t="s">
        <v>193</v>
      </c>
      <c r="F27" s="58" t="s">
        <v>194</v>
      </c>
      <c r="G27" s="59" t="s">
        <v>150</v>
      </c>
      <c r="H27" s="60">
        <v>20.25</v>
      </c>
      <c r="I27" s="61">
        <v>44.72</v>
      </c>
      <c r="J27" s="60">
        <v>905.6</v>
      </c>
      <c r="K27" s="68">
        <f t="shared" si="6"/>
        <v>-17.26059050064185</v>
      </c>
      <c r="L27" s="69">
        <f t="shared" si="0"/>
        <v>44.72</v>
      </c>
      <c r="M27" s="273">
        <f t="shared" si="1"/>
        <v>-771.89360718870353</v>
      </c>
      <c r="N27" s="71">
        <f t="shared" si="2"/>
        <v>2.9894094993581497</v>
      </c>
      <c r="O27" s="72">
        <f t="shared" si="3"/>
        <v>44.72</v>
      </c>
      <c r="P27" s="274">
        <f t="shared" si="4"/>
        <v>133.68639281129646</v>
      </c>
      <c r="Q27" s="121">
        <f t="shared" si="5"/>
        <v>24.7</v>
      </c>
    </row>
    <row r="28" spans="2:17" s="121" customFormat="1" ht="16.5" customHeight="1" x14ac:dyDescent="0.2">
      <c r="B28" s="120"/>
      <c r="C28" s="56" t="s">
        <v>2</v>
      </c>
      <c r="D28" s="56" t="s">
        <v>96</v>
      </c>
      <c r="E28" s="57" t="s">
        <v>196</v>
      </c>
      <c r="F28" s="58" t="s">
        <v>197</v>
      </c>
      <c r="G28" s="59" t="s">
        <v>150</v>
      </c>
      <c r="H28" s="60">
        <v>20.25</v>
      </c>
      <c r="I28" s="61">
        <v>11.84</v>
      </c>
      <c r="J28" s="60">
        <v>239.8</v>
      </c>
      <c r="K28" s="68">
        <f t="shared" si="6"/>
        <v>-17.26059050064185</v>
      </c>
      <c r="L28" s="69">
        <f t="shared" si="0"/>
        <v>11.84</v>
      </c>
      <c r="M28" s="273">
        <f t="shared" si="1"/>
        <v>-204.36539152759951</v>
      </c>
      <c r="N28" s="71">
        <f t="shared" si="2"/>
        <v>2.9894094993581497</v>
      </c>
      <c r="O28" s="72">
        <f t="shared" si="3"/>
        <v>11.84</v>
      </c>
      <c r="P28" s="274">
        <f t="shared" si="4"/>
        <v>35.394608472400492</v>
      </c>
      <c r="Q28" s="121">
        <f t="shared" si="5"/>
        <v>24.7</v>
      </c>
    </row>
    <row r="29" spans="2:17" s="121" customFormat="1" ht="16.5" customHeight="1" x14ac:dyDescent="0.2">
      <c r="B29" s="120"/>
      <c r="C29" s="56" t="s">
        <v>141</v>
      </c>
      <c r="D29" s="56" t="s">
        <v>96</v>
      </c>
      <c r="E29" s="57" t="s">
        <v>199</v>
      </c>
      <c r="F29" s="58" t="s">
        <v>200</v>
      </c>
      <c r="G29" s="59" t="s">
        <v>201</v>
      </c>
      <c r="H29" s="60">
        <v>40.5</v>
      </c>
      <c r="I29" s="61">
        <v>116</v>
      </c>
      <c r="J29" s="60">
        <v>4698</v>
      </c>
      <c r="K29" s="68">
        <f t="shared" si="6"/>
        <v>-34.521181001283701</v>
      </c>
      <c r="L29" s="69">
        <f t="shared" si="0"/>
        <v>116</v>
      </c>
      <c r="M29" s="273">
        <f t="shared" si="1"/>
        <v>-4004.4569961489092</v>
      </c>
      <c r="N29" s="71">
        <f t="shared" si="2"/>
        <v>5.9788189987162994</v>
      </c>
      <c r="O29" s="72">
        <f t="shared" si="3"/>
        <v>116</v>
      </c>
      <c r="P29" s="274">
        <f t="shared" si="4"/>
        <v>693.5430038510907</v>
      </c>
      <c r="Q29" s="121">
        <f t="shared" si="5"/>
        <v>49.39</v>
      </c>
    </row>
    <row r="30" spans="2:17" s="121" customFormat="1" ht="16.5" customHeight="1" x14ac:dyDescent="0.2">
      <c r="B30" s="120"/>
      <c r="C30" s="56" t="s">
        <v>144</v>
      </c>
      <c r="D30" s="56" t="s">
        <v>96</v>
      </c>
      <c r="E30" s="57" t="s">
        <v>203</v>
      </c>
      <c r="F30" s="58" t="s">
        <v>204</v>
      </c>
      <c r="G30" s="59" t="s">
        <v>150</v>
      </c>
      <c r="H30" s="60">
        <v>37.54</v>
      </c>
      <c r="I30" s="61">
        <v>143.36000000000001</v>
      </c>
      <c r="J30" s="60">
        <v>5381.7</v>
      </c>
      <c r="K30" s="68">
        <f t="shared" si="6"/>
        <v>-31.998151476251603</v>
      </c>
      <c r="L30" s="69">
        <f t="shared" si="0"/>
        <v>143.36000000000001</v>
      </c>
      <c r="M30" s="273">
        <f t="shared" si="1"/>
        <v>-4587.2549956354305</v>
      </c>
      <c r="N30" s="71">
        <f t="shared" si="2"/>
        <v>5.5418485237483956</v>
      </c>
      <c r="O30" s="72">
        <f t="shared" si="3"/>
        <v>143.36000000000001</v>
      </c>
      <c r="P30" s="274">
        <f t="shared" si="4"/>
        <v>794.47940436457009</v>
      </c>
      <c r="Q30" s="121">
        <f t="shared" si="5"/>
        <v>45.78</v>
      </c>
    </row>
    <row r="31" spans="2:17" s="121" customFormat="1" ht="16.5" customHeight="1" x14ac:dyDescent="0.2">
      <c r="B31" s="120"/>
      <c r="C31" s="56" t="s">
        <v>147</v>
      </c>
      <c r="D31" s="56" t="s">
        <v>96</v>
      </c>
      <c r="E31" s="57" t="s">
        <v>206</v>
      </c>
      <c r="F31" s="58" t="s">
        <v>207</v>
      </c>
      <c r="G31" s="59" t="s">
        <v>150</v>
      </c>
      <c r="H31" s="60">
        <v>10.039999999999999</v>
      </c>
      <c r="I31" s="61">
        <v>318.27999999999997</v>
      </c>
      <c r="J31" s="60">
        <v>3195.5</v>
      </c>
      <c r="K31" s="68">
        <f t="shared" si="6"/>
        <v>-8.5578433889602046</v>
      </c>
      <c r="L31" s="69">
        <f t="shared" si="0"/>
        <v>318.27999999999997</v>
      </c>
      <c r="M31" s="273">
        <f t="shared" si="1"/>
        <v>-2723.7903938382537</v>
      </c>
      <c r="N31" s="71">
        <f t="shared" si="2"/>
        <v>1.4821566110397946</v>
      </c>
      <c r="O31" s="72">
        <f t="shared" si="3"/>
        <v>318.27999999999997</v>
      </c>
      <c r="P31" s="274">
        <f t="shared" si="4"/>
        <v>471.74080616174575</v>
      </c>
      <c r="Q31" s="121">
        <f t="shared" si="5"/>
        <v>12.24</v>
      </c>
    </row>
    <row r="32" spans="2:17" s="121" customFormat="1" ht="16.5" customHeight="1" x14ac:dyDescent="0.2">
      <c r="B32" s="120"/>
      <c r="C32" s="73" t="s">
        <v>151</v>
      </c>
      <c r="D32" s="73" t="s">
        <v>209</v>
      </c>
      <c r="E32" s="74" t="s">
        <v>210</v>
      </c>
      <c r="F32" s="75" t="s">
        <v>211</v>
      </c>
      <c r="G32" s="76" t="s">
        <v>201</v>
      </c>
      <c r="H32" s="77">
        <v>20.079999999999998</v>
      </c>
      <c r="I32" s="78">
        <v>172.71</v>
      </c>
      <c r="J32" s="77">
        <v>3468</v>
      </c>
      <c r="K32" s="68">
        <f t="shared" si="6"/>
        <v>-17.115686777920409</v>
      </c>
      <c r="L32" s="69">
        <f t="shared" si="0"/>
        <v>172.71</v>
      </c>
      <c r="M32" s="273">
        <f t="shared" si="1"/>
        <v>-2956.0502634146342</v>
      </c>
      <c r="N32" s="71">
        <f t="shared" si="2"/>
        <v>2.9643132220795891</v>
      </c>
      <c r="O32" s="72">
        <f t="shared" si="3"/>
        <v>172.71</v>
      </c>
      <c r="P32" s="274">
        <f t="shared" si="4"/>
        <v>511.96653658536587</v>
      </c>
      <c r="Q32" s="121">
        <f t="shared" si="5"/>
        <v>24.49</v>
      </c>
    </row>
    <row r="33" spans="2:17" s="121" customFormat="1" ht="16.5" customHeight="1" x14ac:dyDescent="0.2">
      <c r="B33" s="120"/>
      <c r="C33" s="56" t="s">
        <v>154</v>
      </c>
      <c r="D33" s="56" t="s">
        <v>96</v>
      </c>
      <c r="E33" s="57" t="s">
        <v>213</v>
      </c>
      <c r="F33" s="58" t="s">
        <v>214</v>
      </c>
      <c r="G33" s="59" t="s">
        <v>108</v>
      </c>
      <c r="H33" s="60">
        <v>4.29</v>
      </c>
      <c r="I33" s="61">
        <v>53.92</v>
      </c>
      <c r="J33" s="60">
        <v>231.3</v>
      </c>
      <c r="K33" s="68">
        <f t="shared" si="6"/>
        <v>-3.6566880616174586</v>
      </c>
      <c r="L33" s="69">
        <f t="shared" si="0"/>
        <v>53.92</v>
      </c>
      <c r="M33" s="273">
        <f t="shared" si="1"/>
        <v>-197.16862028241337</v>
      </c>
      <c r="N33" s="71">
        <f t="shared" si="2"/>
        <v>0.63331193838254141</v>
      </c>
      <c r="O33" s="72">
        <f t="shared" si="3"/>
        <v>53.92</v>
      </c>
      <c r="P33" s="274">
        <f t="shared" si="4"/>
        <v>34.148179717586636</v>
      </c>
      <c r="Q33" s="121">
        <f t="shared" si="5"/>
        <v>5.23</v>
      </c>
    </row>
    <row r="34" spans="2:17" s="170" customFormat="1" ht="22.9" customHeight="1" x14ac:dyDescent="0.2">
      <c r="B34" s="165"/>
      <c r="C34" s="252"/>
      <c r="D34" s="253" t="s">
        <v>4</v>
      </c>
      <c r="E34" s="254" t="s">
        <v>13</v>
      </c>
      <c r="F34" s="254" t="s">
        <v>222</v>
      </c>
      <c r="G34" s="252"/>
      <c r="H34" s="252"/>
      <c r="I34" s="255"/>
      <c r="J34" s="256">
        <f>+SUBTOTAL(9,J35:J36)</f>
        <v>614.79999999999995</v>
      </c>
      <c r="K34" s="261"/>
      <c r="L34" s="262"/>
      <c r="M34" s="279">
        <f>SUM(M35:M36)</f>
        <v>-524.02880000000005</v>
      </c>
      <c r="N34" s="280"/>
      <c r="O34" s="262"/>
      <c r="P34" s="279">
        <f>SUM(P35:P36)</f>
        <v>90.758000000000024</v>
      </c>
      <c r="Q34" s="121">
        <f t="shared" si="5"/>
        <v>0</v>
      </c>
    </row>
    <row r="35" spans="2:17" s="121" customFormat="1" ht="16.5" customHeight="1" x14ac:dyDescent="0.2">
      <c r="B35" s="120"/>
      <c r="C35" s="56" t="s">
        <v>1</v>
      </c>
      <c r="D35" s="56" t="s">
        <v>96</v>
      </c>
      <c r="E35" s="57" t="s">
        <v>224</v>
      </c>
      <c r="F35" s="58" t="s">
        <v>225</v>
      </c>
      <c r="G35" s="59" t="s">
        <v>133</v>
      </c>
      <c r="H35" s="60">
        <v>15.58</v>
      </c>
      <c r="I35" s="61">
        <v>32.880000000000003</v>
      </c>
      <c r="J35" s="60">
        <v>512.29999999999995</v>
      </c>
      <c r="K35" s="68">
        <v>-13.28</v>
      </c>
      <c r="L35" s="69">
        <f t="shared" si="0"/>
        <v>32.880000000000003</v>
      </c>
      <c r="M35" s="273">
        <f t="shared" si="1"/>
        <v>-436.64640000000003</v>
      </c>
      <c r="N35" s="71">
        <f t="shared" si="2"/>
        <v>2.3000000000000007</v>
      </c>
      <c r="O35" s="72">
        <f t="shared" si="3"/>
        <v>32.880000000000003</v>
      </c>
      <c r="P35" s="274">
        <f t="shared" si="4"/>
        <v>75.624000000000024</v>
      </c>
      <c r="Q35" s="121">
        <f t="shared" si="5"/>
        <v>19</v>
      </c>
    </row>
    <row r="36" spans="2:17" s="121" customFormat="1" ht="16.5" customHeight="1" x14ac:dyDescent="0.2">
      <c r="B36" s="120"/>
      <c r="C36" s="56" t="s">
        <v>159</v>
      </c>
      <c r="D36" s="56" t="s">
        <v>96</v>
      </c>
      <c r="E36" s="57" t="s">
        <v>227</v>
      </c>
      <c r="F36" s="58" t="s">
        <v>228</v>
      </c>
      <c r="G36" s="59" t="s">
        <v>133</v>
      </c>
      <c r="H36" s="60">
        <v>15.58</v>
      </c>
      <c r="I36" s="61">
        <v>6.58</v>
      </c>
      <c r="J36" s="60">
        <v>102.5</v>
      </c>
      <c r="K36" s="68">
        <v>-13.28</v>
      </c>
      <c r="L36" s="69">
        <f t="shared" si="0"/>
        <v>6.58</v>
      </c>
      <c r="M36" s="273">
        <f t="shared" si="1"/>
        <v>-87.38239999999999</v>
      </c>
      <c r="N36" s="71">
        <f t="shared" si="2"/>
        <v>2.3000000000000007</v>
      </c>
      <c r="O36" s="72">
        <f t="shared" si="3"/>
        <v>6.58</v>
      </c>
      <c r="P36" s="274">
        <f t="shared" si="4"/>
        <v>15.134000000000006</v>
      </c>
      <c r="Q36" s="121">
        <f t="shared" si="5"/>
        <v>19</v>
      </c>
    </row>
    <row r="37" spans="2:17" s="170" customFormat="1" ht="22.9" customHeight="1" x14ac:dyDescent="0.2">
      <c r="B37" s="165"/>
      <c r="C37" s="252"/>
      <c r="D37" s="253" t="s">
        <v>4</v>
      </c>
      <c r="E37" s="254" t="s">
        <v>100</v>
      </c>
      <c r="F37" s="254" t="s">
        <v>229</v>
      </c>
      <c r="G37" s="252"/>
      <c r="H37" s="252"/>
      <c r="I37" s="255"/>
      <c r="J37" s="256">
        <f>+SUBTOTAL(9,J38:J39)</f>
        <v>11457.5</v>
      </c>
      <c r="K37" s="261"/>
      <c r="L37" s="262"/>
      <c r="M37" s="279">
        <f>SUM(M38:M39)</f>
        <v>-9742.217099999998</v>
      </c>
      <c r="N37" s="280"/>
      <c r="O37" s="262"/>
      <c r="P37" s="279">
        <f>SUM(P38:P39)</f>
        <v>1715.2239</v>
      </c>
      <c r="Q37" s="121">
        <f t="shared" si="5"/>
        <v>0</v>
      </c>
    </row>
    <row r="38" spans="2:17" s="121" customFormat="1" ht="16.5" customHeight="1" x14ac:dyDescent="0.2">
      <c r="B38" s="120"/>
      <c r="C38" s="56" t="s">
        <v>162</v>
      </c>
      <c r="D38" s="56" t="s">
        <v>96</v>
      </c>
      <c r="E38" s="57" t="s">
        <v>252</v>
      </c>
      <c r="F38" s="58" t="s">
        <v>253</v>
      </c>
      <c r="G38" s="59" t="s">
        <v>150</v>
      </c>
      <c r="H38" s="60">
        <v>3.36</v>
      </c>
      <c r="I38" s="61">
        <v>3239.16</v>
      </c>
      <c r="J38" s="60">
        <v>10883.6</v>
      </c>
      <c r="K38" s="68">
        <v>-2.86</v>
      </c>
      <c r="L38" s="69">
        <f t="shared" si="0"/>
        <v>3239.16</v>
      </c>
      <c r="M38" s="273">
        <f t="shared" si="1"/>
        <v>-9263.9975999999988</v>
      </c>
      <c r="N38" s="71">
        <f t="shared" si="2"/>
        <v>0.5</v>
      </c>
      <c r="O38" s="72">
        <f t="shared" si="3"/>
        <v>3239.16</v>
      </c>
      <c r="P38" s="274">
        <f t="shared" si="4"/>
        <v>1619.58</v>
      </c>
      <c r="Q38" s="121">
        <f t="shared" si="5"/>
        <v>4.0999999999999996</v>
      </c>
    </row>
    <row r="39" spans="2:17" s="121" customFormat="1" ht="16.5" customHeight="1" x14ac:dyDescent="0.2">
      <c r="B39" s="120"/>
      <c r="C39" s="56" t="s">
        <v>165</v>
      </c>
      <c r="D39" s="56" t="s">
        <v>96</v>
      </c>
      <c r="E39" s="57" t="s">
        <v>255</v>
      </c>
      <c r="F39" s="58" t="s">
        <v>256</v>
      </c>
      <c r="G39" s="59" t="s">
        <v>150</v>
      </c>
      <c r="H39" s="60">
        <v>0.18</v>
      </c>
      <c r="I39" s="61">
        <v>3188.13</v>
      </c>
      <c r="J39" s="60">
        <v>573.9</v>
      </c>
      <c r="K39" s="68">
        <v>-0.15</v>
      </c>
      <c r="L39" s="69">
        <f t="shared" si="0"/>
        <v>3188.13</v>
      </c>
      <c r="M39" s="273">
        <f t="shared" si="1"/>
        <v>-478.21949999999998</v>
      </c>
      <c r="N39" s="71">
        <f t="shared" si="2"/>
        <v>0.03</v>
      </c>
      <c r="O39" s="72">
        <f t="shared" si="3"/>
        <v>3188.13</v>
      </c>
      <c r="P39" s="274">
        <f t="shared" si="4"/>
        <v>95.643900000000002</v>
      </c>
      <c r="Q39" s="121">
        <f t="shared" si="5"/>
        <v>0.22</v>
      </c>
    </row>
    <row r="40" spans="2:17" s="170" customFormat="1" ht="22.9" customHeight="1" x14ac:dyDescent="0.2">
      <c r="B40" s="165"/>
      <c r="C40" s="252"/>
      <c r="D40" s="253" t="s">
        <v>4</v>
      </c>
      <c r="E40" s="254" t="s">
        <v>105</v>
      </c>
      <c r="F40" s="254" t="s">
        <v>257</v>
      </c>
      <c r="G40" s="252"/>
      <c r="H40" s="252"/>
      <c r="I40" s="255"/>
      <c r="J40" s="256">
        <f>+SUBTOTAL(9,J41:J42)</f>
        <v>6459.6</v>
      </c>
      <c r="K40" s="261"/>
      <c r="L40" s="262"/>
      <c r="M40" s="279">
        <f>SUM(M41:M42)</f>
        <v>-5506.8240000000005</v>
      </c>
      <c r="N40" s="280"/>
      <c r="O40" s="262"/>
      <c r="P40" s="279">
        <f>SUM(P41:P42)</f>
        <v>952.80499999999984</v>
      </c>
      <c r="Q40" s="121">
        <f t="shared" si="5"/>
        <v>0</v>
      </c>
    </row>
    <row r="41" spans="2:17" s="121" customFormat="1" ht="16.5" customHeight="1" x14ac:dyDescent="0.2">
      <c r="B41" s="120"/>
      <c r="C41" s="56" t="s">
        <v>168</v>
      </c>
      <c r="D41" s="56" t="s">
        <v>96</v>
      </c>
      <c r="E41" s="57" t="s">
        <v>262</v>
      </c>
      <c r="F41" s="58" t="s">
        <v>263</v>
      </c>
      <c r="G41" s="59" t="s">
        <v>108</v>
      </c>
      <c r="H41" s="60">
        <v>16.61</v>
      </c>
      <c r="I41" s="61">
        <v>302.54000000000002</v>
      </c>
      <c r="J41" s="60">
        <v>5025.2</v>
      </c>
      <c r="K41" s="68">
        <v>-14.16</v>
      </c>
      <c r="L41" s="69">
        <f t="shared" si="0"/>
        <v>302.54000000000002</v>
      </c>
      <c r="M41" s="273">
        <f t="shared" si="1"/>
        <v>-4283.9664000000002</v>
      </c>
      <c r="N41" s="71">
        <f t="shared" si="2"/>
        <v>2.4499999999999993</v>
      </c>
      <c r="O41" s="72">
        <f t="shared" si="3"/>
        <v>302.54000000000002</v>
      </c>
      <c r="P41" s="274">
        <f t="shared" si="4"/>
        <v>741.22299999999984</v>
      </c>
      <c r="Q41" s="121">
        <f t="shared" si="5"/>
        <v>20.260000000000002</v>
      </c>
    </row>
    <row r="42" spans="2:17" s="121" customFormat="1" ht="16.5" customHeight="1" x14ac:dyDescent="0.2">
      <c r="B42" s="120"/>
      <c r="C42" s="56" t="s">
        <v>171</v>
      </c>
      <c r="D42" s="56" t="s">
        <v>96</v>
      </c>
      <c r="E42" s="57" t="s">
        <v>265</v>
      </c>
      <c r="F42" s="58" t="s">
        <v>266</v>
      </c>
      <c r="G42" s="59" t="s">
        <v>108</v>
      </c>
      <c r="H42" s="60">
        <v>16.61</v>
      </c>
      <c r="I42" s="61">
        <v>86.36</v>
      </c>
      <c r="J42" s="60">
        <v>1434.4</v>
      </c>
      <c r="K42" s="68">
        <v>-14.16</v>
      </c>
      <c r="L42" s="69">
        <f t="shared" si="0"/>
        <v>86.36</v>
      </c>
      <c r="M42" s="273">
        <f t="shared" si="1"/>
        <v>-1222.8576</v>
      </c>
      <c r="N42" s="71">
        <f t="shared" si="2"/>
        <v>2.4499999999999993</v>
      </c>
      <c r="O42" s="72">
        <f t="shared" si="3"/>
        <v>86.36</v>
      </c>
      <c r="P42" s="274">
        <f t="shared" si="4"/>
        <v>211.58199999999994</v>
      </c>
      <c r="Q42" s="121">
        <f t="shared" si="5"/>
        <v>20.260000000000002</v>
      </c>
    </row>
    <row r="43" spans="2:17" s="170" customFormat="1" ht="22.9" customHeight="1" x14ac:dyDescent="0.2">
      <c r="B43" s="165"/>
      <c r="C43" s="252"/>
      <c r="D43" s="253" t="s">
        <v>4</v>
      </c>
      <c r="E43" s="254" t="s">
        <v>115</v>
      </c>
      <c r="F43" s="254" t="s">
        <v>288</v>
      </c>
      <c r="G43" s="252"/>
      <c r="H43" s="252"/>
      <c r="I43" s="255"/>
      <c r="J43" s="256">
        <f>+SUBTOTAL(9,J44:J63)</f>
        <v>97933.7</v>
      </c>
      <c r="K43" s="261"/>
      <c r="L43" s="262"/>
      <c r="M43" s="279">
        <f>SUM(M44:M63)</f>
        <v>-53880.635999999999</v>
      </c>
      <c r="N43" s="280"/>
      <c r="O43" s="262"/>
      <c r="P43" s="279">
        <f>SUM(P44:P63)</f>
        <v>44053.163999999997</v>
      </c>
      <c r="Q43" s="121">
        <f t="shared" si="5"/>
        <v>0</v>
      </c>
    </row>
    <row r="44" spans="2:17" s="121" customFormat="1" ht="16.5" customHeight="1" x14ac:dyDescent="0.2">
      <c r="B44" s="120"/>
      <c r="C44" s="56" t="s">
        <v>174</v>
      </c>
      <c r="D44" s="56" t="s">
        <v>96</v>
      </c>
      <c r="E44" s="57" t="s">
        <v>296</v>
      </c>
      <c r="F44" s="58" t="s">
        <v>297</v>
      </c>
      <c r="G44" s="59" t="s">
        <v>133</v>
      </c>
      <c r="H44" s="60">
        <v>15.58</v>
      </c>
      <c r="I44" s="61">
        <v>552.39</v>
      </c>
      <c r="J44" s="60">
        <v>8606.2000000000007</v>
      </c>
      <c r="K44" s="68">
        <v>-13.28</v>
      </c>
      <c r="L44" s="69">
        <f t="shared" si="0"/>
        <v>552.39</v>
      </c>
      <c r="M44" s="273">
        <f t="shared" si="1"/>
        <v>-7335.7391999999991</v>
      </c>
      <c r="N44" s="71">
        <f t="shared" si="2"/>
        <v>2.3000000000000007</v>
      </c>
      <c r="O44" s="72">
        <f t="shared" si="3"/>
        <v>552.39</v>
      </c>
      <c r="P44" s="274">
        <f t="shared" si="4"/>
        <v>1270.4970000000003</v>
      </c>
      <c r="Q44" s="121">
        <f t="shared" si="5"/>
        <v>19</v>
      </c>
    </row>
    <row r="45" spans="2:17" s="121" customFormat="1" ht="16.5" customHeight="1" x14ac:dyDescent="0.2">
      <c r="B45" s="120"/>
      <c r="C45" s="73" t="s">
        <v>177</v>
      </c>
      <c r="D45" s="73" t="s">
        <v>209</v>
      </c>
      <c r="E45" s="74" t="s">
        <v>299</v>
      </c>
      <c r="F45" s="75" t="s">
        <v>500</v>
      </c>
      <c r="G45" s="76" t="s">
        <v>133</v>
      </c>
      <c r="H45" s="77">
        <v>15.58</v>
      </c>
      <c r="I45" s="78">
        <v>1060.07</v>
      </c>
      <c r="J45" s="77">
        <v>16515.900000000001</v>
      </c>
      <c r="K45" s="68">
        <v>-13.28</v>
      </c>
      <c r="L45" s="69">
        <f t="shared" si="0"/>
        <v>1060.07</v>
      </c>
      <c r="M45" s="273">
        <f t="shared" si="1"/>
        <v>-14077.729599999999</v>
      </c>
      <c r="N45" s="71">
        <f t="shared" si="2"/>
        <v>2.3000000000000007</v>
      </c>
      <c r="O45" s="72">
        <f t="shared" si="3"/>
        <v>1060.07</v>
      </c>
      <c r="P45" s="274">
        <f t="shared" si="4"/>
        <v>2438.1610000000005</v>
      </c>
      <c r="Q45" s="121">
        <f t="shared" si="5"/>
        <v>19</v>
      </c>
    </row>
    <row r="46" spans="2:17" s="121" customFormat="1" ht="16.5" customHeight="1" x14ac:dyDescent="0.2">
      <c r="B46" s="120"/>
      <c r="C46" s="73" t="s">
        <v>180</v>
      </c>
      <c r="D46" s="73" t="s">
        <v>209</v>
      </c>
      <c r="E46" s="74" t="s">
        <v>302</v>
      </c>
      <c r="F46" s="75" t="s">
        <v>303</v>
      </c>
      <c r="G46" s="76" t="s">
        <v>99</v>
      </c>
      <c r="H46" s="77">
        <v>4</v>
      </c>
      <c r="I46" s="78">
        <v>739.15</v>
      </c>
      <c r="J46" s="77">
        <v>2956.6</v>
      </c>
      <c r="K46" s="68">
        <v>0</v>
      </c>
      <c r="L46" s="69">
        <f t="shared" si="0"/>
        <v>739.15</v>
      </c>
      <c r="M46" s="273">
        <f t="shared" si="1"/>
        <v>0</v>
      </c>
      <c r="N46" s="71">
        <f t="shared" si="2"/>
        <v>4</v>
      </c>
      <c r="O46" s="72">
        <f t="shared" si="3"/>
        <v>739.15</v>
      </c>
      <c r="P46" s="274">
        <f t="shared" si="4"/>
        <v>2956.6</v>
      </c>
      <c r="Q46" s="121">
        <f t="shared" si="5"/>
        <v>4.88</v>
      </c>
    </row>
    <row r="47" spans="2:17" s="121" customFormat="1" ht="16.5" customHeight="1" x14ac:dyDescent="0.2">
      <c r="B47" s="120"/>
      <c r="C47" s="56" t="s">
        <v>183</v>
      </c>
      <c r="D47" s="56" t="s">
        <v>96</v>
      </c>
      <c r="E47" s="57" t="s">
        <v>320</v>
      </c>
      <c r="F47" s="58" t="s">
        <v>321</v>
      </c>
      <c r="G47" s="59" t="s">
        <v>99</v>
      </c>
      <c r="H47" s="60">
        <v>2</v>
      </c>
      <c r="I47" s="61">
        <v>260.41000000000003</v>
      </c>
      <c r="J47" s="60">
        <v>520.79999999999995</v>
      </c>
      <c r="K47" s="68">
        <v>0</v>
      </c>
      <c r="L47" s="69">
        <f t="shared" si="0"/>
        <v>260.41000000000003</v>
      </c>
      <c r="M47" s="273">
        <f t="shared" si="1"/>
        <v>0</v>
      </c>
      <c r="N47" s="71">
        <f t="shared" si="2"/>
        <v>2</v>
      </c>
      <c r="O47" s="72">
        <f t="shared" si="3"/>
        <v>260.41000000000003</v>
      </c>
      <c r="P47" s="274">
        <f t="shared" si="4"/>
        <v>520.82000000000005</v>
      </c>
      <c r="Q47" s="121">
        <f t="shared" si="5"/>
        <v>2.44</v>
      </c>
    </row>
    <row r="48" spans="2:17" s="121" customFormat="1" ht="16.5" customHeight="1" x14ac:dyDescent="0.2">
      <c r="B48" s="120"/>
      <c r="C48" s="73" t="s">
        <v>186</v>
      </c>
      <c r="D48" s="73" t="s">
        <v>209</v>
      </c>
      <c r="E48" s="74" t="s">
        <v>326</v>
      </c>
      <c r="F48" s="75" t="s">
        <v>327</v>
      </c>
      <c r="G48" s="76" t="s">
        <v>99</v>
      </c>
      <c r="H48" s="77">
        <v>2.0299999999999998</v>
      </c>
      <c r="I48" s="78">
        <v>1801.85</v>
      </c>
      <c r="J48" s="77">
        <v>3657.8</v>
      </c>
      <c r="K48" s="68">
        <v>0</v>
      </c>
      <c r="L48" s="69">
        <f t="shared" si="0"/>
        <v>1801.85</v>
      </c>
      <c r="M48" s="273">
        <f t="shared" si="1"/>
        <v>0</v>
      </c>
      <c r="N48" s="71">
        <f t="shared" si="2"/>
        <v>2.0299999999999998</v>
      </c>
      <c r="O48" s="72">
        <f t="shared" si="3"/>
        <v>1801.85</v>
      </c>
      <c r="P48" s="274">
        <f t="shared" si="4"/>
        <v>3657.7554999999993</v>
      </c>
      <c r="Q48" s="121">
        <f t="shared" si="5"/>
        <v>2.48</v>
      </c>
    </row>
    <row r="49" spans="2:17" s="121" customFormat="1" ht="16.5" customHeight="1" x14ac:dyDescent="0.2">
      <c r="B49" s="120"/>
      <c r="C49" s="56" t="s">
        <v>189</v>
      </c>
      <c r="D49" s="56" t="s">
        <v>96</v>
      </c>
      <c r="E49" s="57" t="s">
        <v>329</v>
      </c>
      <c r="F49" s="58" t="s">
        <v>330</v>
      </c>
      <c r="G49" s="59" t="s">
        <v>99</v>
      </c>
      <c r="H49" s="60">
        <v>3</v>
      </c>
      <c r="I49" s="61">
        <v>219.64</v>
      </c>
      <c r="J49" s="60">
        <v>658.9</v>
      </c>
      <c r="K49" s="68">
        <v>0</v>
      </c>
      <c r="L49" s="69">
        <f t="shared" si="0"/>
        <v>219.64</v>
      </c>
      <c r="M49" s="273">
        <f t="shared" si="1"/>
        <v>0</v>
      </c>
      <c r="N49" s="71">
        <f t="shared" si="2"/>
        <v>3</v>
      </c>
      <c r="O49" s="72">
        <f t="shared" si="3"/>
        <v>219.64</v>
      </c>
      <c r="P49" s="274">
        <f t="shared" si="4"/>
        <v>658.92</v>
      </c>
      <c r="Q49" s="121">
        <f t="shared" si="5"/>
        <v>3.66</v>
      </c>
    </row>
    <row r="50" spans="2:17" s="121" customFormat="1" ht="16.5" customHeight="1" x14ac:dyDescent="0.2">
      <c r="B50" s="120"/>
      <c r="C50" s="73" t="s">
        <v>192</v>
      </c>
      <c r="D50" s="73" t="s">
        <v>209</v>
      </c>
      <c r="E50" s="74" t="s">
        <v>332</v>
      </c>
      <c r="F50" s="75" t="s">
        <v>333</v>
      </c>
      <c r="G50" s="76" t="s">
        <v>99</v>
      </c>
      <c r="H50" s="77">
        <v>1.02</v>
      </c>
      <c r="I50" s="78">
        <v>1129.77</v>
      </c>
      <c r="J50" s="77">
        <v>1152.4000000000001</v>
      </c>
      <c r="K50" s="68">
        <v>0</v>
      </c>
      <c r="L50" s="69">
        <f t="shared" si="0"/>
        <v>1129.77</v>
      </c>
      <c r="M50" s="273">
        <f t="shared" si="1"/>
        <v>0</v>
      </c>
      <c r="N50" s="71">
        <f t="shared" si="2"/>
        <v>1.02</v>
      </c>
      <c r="O50" s="72">
        <f t="shared" si="3"/>
        <v>1129.77</v>
      </c>
      <c r="P50" s="274">
        <f t="shared" si="4"/>
        <v>1152.3653999999999</v>
      </c>
      <c r="Q50" s="121">
        <f t="shared" si="5"/>
        <v>1.24</v>
      </c>
    </row>
    <row r="51" spans="2:17" s="121" customFormat="1" ht="16.5" customHeight="1" x14ac:dyDescent="0.2">
      <c r="B51" s="120"/>
      <c r="C51" s="73" t="s">
        <v>195</v>
      </c>
      <c r="D51" s="73" t="s">
        <v>209</v>
      </c>
      <c r="E51" s="74" t="s">
        <v>335</v>
      </c>
      <c r="F51" s="75" t="s">
        <v>336</v>
      </c>
      <c r="G51" s="76" t="s">
        <v>99</v>
      </c>
      <c r="H51" s="77">
        <v>2.0299999999999998</v>
      </c>
      <c r="I51" s="78">
        <v>1129.77</v>
      </c>
      <c r="J51" s="77">
        <v>2293.4</v>
      </c>
      <c r="K51" s="68">
        <v>0</v>
      </c>
      <c r="L51" s="69">
        <f t="shared" si="0"/>
        <v>1129.77</v>
      </c>
      <c r="M51" s="273">
        <f t="shared" si="1"/>
        <v>0</v>
      </c>
      <c r="N51" s="71">
        <f t="shared" si="2"/>
        <v>2.0299999999999998</v>
      </c>
      <c r="O51" s="72">
        <f t="shared" si="3"/>
        <v>1129.77</v>
      </c>
      <c r="P51" s="274">
        <f t="shared" si="4"/>
        <v>2293.4330999999997</v>
      </c>
      <c r="Q51" s="121">
        <f t="shared" si="5"/>
        <v>2.48</v>
      </c>
    </row>
    <row r="52" spans="2:17" s="121" customFormat="1" ht="33.75" customHeight="1" x14ac:dyDescent="0.2">
      <c r="B52" s="120"/>
      <c r="C52" s="56" t="s">
        <v>198</v>
      </c>
      <c r="D52" s="56" t="s">
        <v>96</v>
      </c>
      <c r="E52" s="57" t="s">
        <v>347</v>
      </c>
      <c r="F52" s="58" t="s">
        <v>348</v>
      </c>
      <c r="G52" s="59" t="s">
        <v>133</v>
      </c>
      <c r="H52" s="60">
        <v>15.58</v>
      </c>
      <c r="I52" s="61">
        <v>56.03</v>
      </c>
      <c r="J52" s="60">
        <v>872.9</v>
      </c>
      <c r="K52" s="68">
        <v>-13.28</v>
      </c>
      <c r="L52" s="69">
        <f t="shared" si="0"/>
        <v>56.03</v>
      </c>
      <c r="M52" s="273">
        <f t="shared" si="1"/>
        <v>-744.07839999999999</v>
      </c>
      <c r="N52" s="71">
        <f t="shared" si="2"/>
        <v>2.3000000000000007</v>
      </c>
      <c r="O52" s="72">
        <f t="shared" si="3"/>
        <v>56.03</v>
      </c>
      <c r="P52" s="274">
        <f t="shared" si="4"/>
        <v>128.86900000000006</v>
      </c>
      <c r="Q52" s="121">
        <f t="shared" si="5"/>
        <v>19</v>
      </c>
    </row>
    <row r="53" spans="2:17" s="121" customFormat="1" ht="16.5" customHeight="1" x14ac:dyDescent="0.2">
      <c r="B53" s="120"/>
      <c r="C53" s="56" t="s">
        <v>202</v>
      </c>
      <c r="D53" s="56" t="s">
        <v>96</v>
      </c>
      <c r="E53" s="57" t="s">
        <v>350</v>
      </c>
      <c r="F53" s="58" t="s">
        <v>351</v>
      </c>
      <c r="G53" s="59" t="s">
        <v>99</v>
      </c>
      <c r="H53" s="60">
        <v>3</v>
      </c>
      <c r="I53" s="61">
        <v>808.86</v>
      </c>
      <c r="J53" s="60">
        <v>2426.6</v>
      </c>
      <c r="K53" s="68">
        <v>-2</v>
      </c>
      <c r="L53" s="69">
        <f t="shared" si="0"/>
        <v>808.86</v>
      </c>
      <c r="M53" s="273">
        <f t="shared" si="1"/>
        <v>-1617.72</v>
      </c>
      <c r="N53" s="71">
        <f t="shared" si="2"/>
        <v>1</v>
      </c>
      <c r="O53" s="72">
        <f t="shared" si="3"/>
        <v>808.86</v>
      </c>
      <c r="P53" s="274">
        <f t="shared" si="4"/>
        <v>808.86</v>
      </c>
      <c r="Q53" s="121">
        <f t="shared" si="5"/>
        <v>3.66</v>
      </c>
    </row>
    <row r="54" spans="2:17" s="121" customFormat="1" ht="16.5" customHeight="1" x14ac:dyDescent="0.2">
      <c r="B54" s="120"/>
      <c r="C54" s="73" t="s">
        <v>205</v>
      </c>
      <c r="D54" s="73" t="s">
        <v>209</v>
      </c>
      <c r="E54" s="74" t="s">
        <v>356</v>
      </c>
      <c r="F54" s="75" t="s">
        <v>357</v>
      </c>
      <c r="G54" s="76" t="s">
        <v>99</v>
      </c>
      <c r="H54" s="77">
        <v>1</v>
      </c>
      <c r="I54" s="78">
        <v>1202.1099999999999</v>
      </c>
      <c r="J54" s="77">
        <v>1202.0999999999999</v>
      </c>
      <c r="K54" s="68">
        <v>-1</v>
      </c>
      <c r="L54" s="69">
        <f t="shared" si="0"/>
        <v>1202.1099999999999</v>
      </c>
      <c r="M54" s="273">
        <f t="shared" si="1"/>
        <v>-1202.1099999999999</v>
      </c>
      <c r="N54" s="71">
        <f t="shared" si="2"/>
        <v>0</v>
      </c>
      <c r="O54" s="72">
        <f t="shared" si="3"/>
        <v>1202.1099999999999</v>
      </c>
      <c r="P54" s="274">
        <f t="shared" si="4"/>
        <v>0</v>
      </c>
      <c r="Q54" s="121">
        <f t="shared" si="5"/>
        <v>1.22</v>
      </c>
    </row>
    <row r="55" spans="2:17" s="121" customFormat="1" ht="16.5" customHeight="1" x14ac:dyDescent="0.2">
      <c r="B55" s="120"/>
      <c r="C55" s="73" t="s">
        <v>208</v>
      </c>
      <c r="D55" s="73" t="s">
        <v>209</v>
      </c>
      <c r="E55" s="74" t="s">
        <v>359</v>
      </c>
      <c r="F55" s="75" t="s">
        <v>360</v>
      </c>
      <c r="G55" s="76" t="s">
        <v>99</v>
      </c>
      <c r="H55" s="77">
        <v>2</v>
      </c>
      <c r="I55" s="78">
        <v>775.98</v>
      </c>
      <c r="J55" s="77">
        <v>1552</v>
      </c>
      <c r="K55" s="68">
        <v>-1</v>
      </c>
      <c r="L55" s="69">
        <f t="shared" si="0"/>
        <v>775.98</v>
      </c>
      <c r="M55" s="273">
        <f t="shared" si="1"/>
        <v>-775.98</v>
      </c>
      <c r="N55" s="71">
        <f t="shared" si="2"/>
        <v>1</v>
      </c>
      <c r="O55" s="72">
        <f t="shared" si="3"/>
        <v>775.98</v>
      </c>
      <c r="P55" s="274">
        <f t="shared" si="4"/>
        <v>775.98</v>
      </c>
      <c r="Q55" s="121">
        <f t="shared" si="5"/>
        <v>2.44</v>
      </c>
    </row>
    <row r="56" spans="2:17" s="121" customFormat="1" ht="16.5" customHeight="1" x14ac:dyDescent="0.2">
      <c r="B56" s="120"/>
      <c r="C56" s="73" t="s">
        <v>212</v>
      </c>
      <c r="D56" s="73" t="s">
        <v>209</v>
      </c>
      <c r="E56" s="74" t="s">
        <v>362</v>
      </c>
      <c r="F56" s="75" t="s">
        <v>363</v>
      </c>
      <c r="G56" s="76" t="s">
        <v>99</v>
      </c>
      <c r="H56" s="77">
        <v>5</v>
      </c>
      <c r="I56" s="78">
        <v>211.75</v>
      </c>
      <c r="J56" s="77">
        <v>1058.8</v>
      </c>
      <c r="K56" s="68">
        <v>-4</v>
      </c>
      <c r="L56" s="69">
        <f t="shared" si="0"/>
        <v>211.75</v>
      </c>
      <c r="M56" s="273">
        <f t="shared" si="1"/>
        <v>-847</v>
      </c>
      <c r="N56" s="71">
        <f t="shared" si="2"/>
        <v>1</v>
      </c>
      <c r="O56" s="72">
        <f t="shared" si="3"/>
        <v>211.75</v>
      </c>
      <c r="P56" s="274">
        <f t="shared" si="4"/>
        <v>211.75</v>
      </c>
      <c r="Q56" s="121">
        <f t="shared" si="5"/>
        <v>6.1</v>
      </c>
    </row>
    <row r="57" spans="2:17" s="121" customFormat="1" ht="16.5" customHeight="1" x14ac:dyDescent="0.2">
      <c r="B57" s="120"/>
      <c r="C57" s="56" t="s">
        <v>215</v>
      </c>
      <c r="D57" s="56" t="s">
        <v>96</v>
      </c>
      <c r="E57" s="57" t="s">
        <v>365</v>
      </c>
      <c r="F57" s="58" t="s">
        <v>366</v>
      </c>
      <c r="G57" s="59" t="s">
        <v>99</v>
      </c>
      <c r="H57" s="60">
        <v>2</v>
      </c>
      <c r="I57" s="61">
        <v>808.86</v>
      </c>
      <c r="J57" s="60">
        <v>1617.7</v>
      </c>
      <c r="K57" s="68">
        <v>-1</v>
      </c>
      <c r="L57" s="69">
        <f t="shared" si="0"/>
        <v>808.86</v>
      </c>
      <c r="M57" s="273">
        <f t="shared" si="1"/>
        <v>-808.86</v>
      </c>
      <c r="N57" s="71">
        <f t="shared" si="2"/>
        <v>1</v>
      </c>
      <c r="O57" s="72">
        <f t="shared" si="3"/>
        <v>808.86</v>
      </c>
      <c r="P57" s="274">
        <f t="shared" si="4"/>
        <v>808.86</v>
      </c>
      <c r="Q57" s="121">
        <f t="shared" si="5"/>
        <v>2.44</v>
      </c>
    </row>
    <row r="58" spans="2:17" s="121" customFormat="1" ht="16.5" customHeight="1" x14ac:dyDescent="0.2">
      <c r="B58" s="120"/>
      <c r="C58" s="73" t="s">
        <v>219</v>
      </c>
      <c r="D58" s="73" t="s">
        <v>209</v>
      </c>
      <c r="E58" s="74" t="s">
        <v>368</v>
      </c>
      <c r="F58" s="75" t="s">
        <v>369</v>
      </c>
      <c r="G58" s="76" t="s">
        <v>99</v>
      </c>
      <c r="H58" s="77">
        <v>2</v>
      </c>
      <c r="I58" s="78">
        <v>1530.92</v>
      </c>
      <c r="J58" s="77">
        <v>3061.8</v>
      </c>
      <c r="K58" s="68">
        <v>-1</v>
      </c>
      <c r="L58" s="69">
        <f t="shared" si="0"/>
        <v>1530.92</v>
      </c>
      <c r="M58" s="273">
        <f t="shared" si="1"/>
        <v>-1530.92</v>
      </c>
      <c r="N58" s="71">
        <f t="shared" si="2"/>
        <v>1</v>
      </c>
      <c r="O58" s="72">
        <f t="shared" si="3"/>
        <v>1530.92</v>
      </c>
      <c r="P58" s="274">
        <f t="shared" si="4"/>
        <v>1530.92</v>
      </c>
      <c r="Q58" s="121">
        <f t="shared" si="5"/>
        <v>2.44</v>
      </c>
    </row>
    <row r="59" spans="2:17" s="121" customFormat="1" ht="16.5" customHeight="1" x14ac:dyDescent="0.2">
      <c r="B59" s="120"/>
      <c r="C59" s="56" t="s">
        <v>223</v>
      </c>
      <c r="D59" s="56" t="s">
        <v>96</v>
      </c>
      <c r="E59" s="57" t="s">
        <v>371</v>
      </c>
      <c r="F59" s="58" t="s">
        <v>372</v>
      </c>
      <c r="G59" s="59" t="s">
        <v>99</v>
      </c>
      <c r="H59" s="60">
        <v>2</v>
      </c>
      <c r="I59" s="61">
        <v>3234.12</v>
      </c>
      <c r="J59" s="60">
        <v>6468.2</v>
      </c>
      <c r="K59" s="68">
        <v>-1</v>
      </c>
      <c r="L59" s="69">
        <f t="shared" si="0"/>
        <v>3234.12</v>
      </c>
      <c r="M59" s="273">
        <f t="shared" si="1"/>
        <v>-3234.12</v>
      </c>
      <c r="N59" s="71">
        <f t="shared" si="2"/>
        <v>1</v>
      </c>
      <c r="O59" s="72">
        <f t="shared" si="3"/>
        <v>3234.12</v>
      </c>
      <c r="P59" s="274">
        <f t="shared" si="4"/>
        <v>3234.12</v>
      </c>
      <c r="Q59" s="121">
        <f t="shared" si="5"/>
        <v>2.44</v>
      </c>
    </row>
    <row r="60" spans="2:17" s="121" customFormat="1" ht="16.5" customHeight="1" x14ac:dyDescent="0.2">
      <c r="B60" s="120"/>
      <c r="C60" s="73" t="s">
        <v>226</v>
      </c>
      <c r="D60" s="73" t="s">
        <v>209</v>
      </c>
      <c r="E60" s="74" t="s">
        <v>374</v>
      </c>
      <c r="F60" s="75" t="s">
        <v>375</v>
      </c>
      <c r="G60" s="76" t="s">
        <v>99</v>
      </c>
      <c r="H60" s="77">
        <v>2</v>
      </c>
      <c r="I60" s="78">
        <v>14588.41</v>
      </c>
      <c r="J60" s="77">
        <v>29176.799999999999</v>
      </c>
      <c r="K60" s="68">
        <v>-1</v>
      </c>
      <c r="L60" s="69">
        <f t="shared" si="0"/>
        <v>14588.41</v>
      </c>
      <c r="M60" s="273">
        <f t="shared" si="1"/>
        <v>-14588.41</v>
      </c>
      <c r="N60" s="71">
        <f t="shared" si="2"/>
        <v>1</v>
      </c>
      <c r="O60" s="72">
        <f t="shared" si="3"/>
        <v>14588.41</v>
      </c>
      <c r="P60" s="274">
        <f t="shared" si="4"/>
        <v>14588.41</v>
      </c>
      <c r="Q60" s="121">
        <f t="shared" si="5"/>
        <v>2.44</v>
      </c>
    </row>
    <row r="61" spans="2:17" s="121" customFormat="1" ht="16.5" customHeight="1" x14ac:dyDescent="0.2">
      <c r="B61" s="120"/>
      <c r="C61" s="56" t="s">
        <v>230</v>
      </c>
      <c r="D61" s="56" t="s">
        <v>96</v>
      </c>
      <c r="E61" s="57" t="s">
        <v>377</v>
      </c>
      <c r="F61" s="58" t="s">
        <v>378</v>
      </c>
      <c r="G61" s="59" t="s">
        <v>99</v>
      </c>
      <c r="H61" s="60">
        <v>2</v>
      </c>
      <c r="I61" s="61">
        <v>485.32</v>
      </c>
      <c r="J61" s="60">
        <v>970.6</v>
      </c>
      <c r="K61" s="68">
        <v>-1</v>
      </c>
      <c r="L61" s="69">
        <f t="shared" si="0"/>
        <v>485.32</v>
      </c>
      <c r="M61" s="273">
        <f t="shared" si="1"/>
        <v>-485.32</v>
      </c>
      <c r="N61" s="71">
        <f t="shared" si="2"/>
        <v>1</v>
      </c>
      <c r="O61" s="72">
        <f t="shared" si="3"/>
        <v>485.32</v>
      </c>
      <c r="P61" s="274">
        <f t="shared" si="4"/>
        <v>485.32</v>
      </c>
      <c r="Q61" s="121">
        <f t="shared" si="5"/>
        <v>2.44</v>
      </c>
    </row>
    <row r="62" spans="2:17" s="121" customFormat="1" ht="16.5" customHeight="1" x14ac:dyDescent="0.2">
      <c r="B62" s="120"/>
      <c r="C62" s="73" t="s">
        <v>233</v>
      </c>
      <c r="D62" s="73" t="s">
        <v>209</v>
      </c>
      <c r="E62" s="74" t="s">
        <v>380</v>
      </c>
      <c r="F62" s="75" t="s">
        <v>381</v>
      </c>
      <c r="G62" s="76" t="s">
        <v>99</v>
      </c>
      <c r="H62" s="77">
        <v>2</v>
      </c>
      <c r="I62" s="78">
        <v>6510.34</v>
      </c>
      <c r="J62" s="77">
        <v>13020.7</v>
      </c>
      <c r="K62" s="68">
        <v>-1</v>
      </c>
      <c r="L62" s="69">
        <f t="shared" si="0"/>
        <v>6510.34</v>
      </c>
      <c r="M62" s="273">
        <f t="shared" si="1"/>
        <v>-6510.34</v>
      </c>
      <c r="N62" s="71">
        <f t="shared" si="2"/>
        <v>1</v>
      </c>
      <c r="O62" s="72">
        <f t="shared" si="3"/>
        <v>6510.34</v>
      </c>
      <c r="P62" s="274">
        <f t="shared" si="4"/>
        <v>6510.34</v>
      </c>
      <c r="Q62" s="121">
        <f t="shared" si="5"/>
        <v>2.44</v>
      </c>
    </row>
    <row r="63" spans="2:17" s="121" customFormat="1" ht="16.5" customHeight="1" x14ac:dyDescent="0.2">
      <c r="B63" s="120"/>
      <c r="C63" s="56" t="s">
        <v>236</v>
      </c>
      <c r="D63" s="56" t="s">
        <v>96</v>
      </c>
      <c r="E63" s="57" t="s">
        <v>383</v>
      </c>
      <c r="F63" s="58" t="s">
        <v>384</v>
      </c>
      <c r="G63" s="59" t="s">
        <v>133</v>
      </c>
      <c r="H63" s="60">
        <v>15.58</v>
      </c>
      <c r="I63" s="61">
        <v>9.2100000000000009</v>
      </c>
      <c r="J63" s="60">
        <v>143.5</v>
      </c>
      <c r="K63" s="68">
        <v>-13.28</v>
      </c>
      <c r="L63" s="69">
        <f t="shared" si="0"/>
        <v>9.2100000000000009</v>
      </c>
      <c r="M63" s="273">
        <f t="shared" si="1"/>
        <v>-122.30880000000001</v>
      </c>
      <c r="N63" s="71">
        <f t="shared" si="2"/>
        <v>2.3000000000000007</v>
      </c>
      <c r="O63" s="72">
        <f t="shared" si="3"/>
        <v>9.2100000000000009</v>
      </c>
      <c r="P63" s="274">
        <f t="shared" si="4"/>
        <v>21.183000000000007</v>
      </c>
      <c r="Q63" s="121">
        <f t="shared" si="5"/>
        <v>19</v>
      </c>
    </row>
    <row r="64" spans="2:17" s="170" customFormat="1" ht="22.9" customHeight="1" x14ac:dyDescent="0.2">
      <c r="B64" s="165"/>
      <c r="C64" s="252"/>
      <c r="D64" s="253" t="s">
        <v>4</v>
      </c>
      <c r="E64" s="254" t="s">
        <v>398</v>
      </c>
      <c r="F64" s="254" t="s">
        <v>399</v>
      </c>
      <c r="G64" s="252"/>
      <c r="H64" s="252"/>
      <c r="I64" s="255"/>
      <c r="J64" s="256">
        <f>+SUBTOTAL(9,J65:J66)</f>
        <v>3979.2</v>
      </c>
      <c r="K64" s="261"/>
      <c r="L64" s="262"/>
      <c r="M64" s="279">
        <f>SUM(M65:M66)</f>
        <v>-3391.9559999999992</v>
      </c>
      <c r="N64" s="280"/>
      <c r="O64" s="262"/>
      <c r="P64" s="279">
        <f>SUM(P65:P66)</f>
        <v>587.25000000000045</v>
      </c>
      <c r="Q64" s="121">
        <f t="shared" si="5"/>
        <v>0</v>
      </c>
    </row>
    <row r="65" spans="2:17" s="121" customFormat="1" ht="16.5" customHeight="1" x14ac:dyDescent="0.2">
      <c r="B65" s="120"/>
      <c r="C65" s="56" t="s">
        <v>239</v>
      </c>
      <c r="D65" s="56" t="s">
        <v>96</v>
      </c>
      <c r="E65" s="57" t="s">
        <v>401</v>
      </c>
      <c r="F65" s="58" t="s">
        <v>402</v>
      </c>
      <c r="G65" s="59" t="s">
        <v>201</v>
      </c>
      <c r="H65" s="60">
        <v>16.940000000000001</v>
      </c>
      <c r="I65" s="61">
        <v>80.23</v>
      </c>
      <c r="J65" s="60">
        <v>1359.1</v>
      </c>
      <c r="K65" s="68">
        <v>-14.44</v>
      </c>
      <c r="L65" s="69">
        <f t="shared" si="0"/>
        <v>80.23</v>
      </c>
      <c r="M65" s="273">
        <f t="shared" si="1"/>
        <v>-1158.5211999999999</v>
      </c>
      <c r="N65" s="71">
        <f t="shared" si="2"/>
        <v>2.5000000000000018</v>
      </c>
      <c r="O65" s="72">
        <f t="shared" si="3"/>
        <v>80.23</v>
      </c>
      <c r="P65" s="274">
        <f t="shared" si="4"/>
        <v>200.57500000000016</v>
      </c>
      <c r="Q65" s="121">
        <f t="shared" si="5"/>
        <v>20.66</v>
      </c>
    </row>
    <row r="66" spans="2:17" s="121" customFormat="1" ht="16.5" customHeight="1" x14ac:dyDescent="0.2">
      <c r="B66" s="120"/>
      <c r="C66" s="56" t="s">
        <v>242</v>
      </c>
      <c r="D66" s="56" t="s">
        <v>96</v>
      </c>
      <c r="E66" s="57" t="s">
        <v>410</v>
      </c>
      <c r="F66" s="58" t="s">
        <v>411</v>
      </c>
      <c r="G66" s="59" t="s">
        <v>201</v>
      </c>
      <c r="H66" s="60">
        <v>16.940000000000001</v>
      </c>
      <c r="I66" s="61">
        <v>154.66999999999999</v>
      </c>
      <c r="J66" s="60">
        <v>2620.1</v>
      </c>
      <c r="K66" s="68">
        <v>-14.44</v>
      </c>
      <c r="L66" s="69">
        <f t="shared" si="0"/>
        <v>154.66999999999999</v>
      </c>
      <c r="M66" s="273">
        <f t="shared" si="1"/>
        <v>-2233.4347999999995</v>
      </c>
      <c r="N66" s="71">
        <f t="shared" si="2"/>
        <v>2.5000000000000018</v>
      </c>
      <c r="O66" s="72">
        <f t="shared" si="3"/>
        <v>154.66999999999999</v>
      </c>
      <c r="P66" s="274">
        <f t="shared" si="4"/>
        <v>386.67500000000024</v>
      </c>
      <c r="Q66" s="121">
        <f t="shared" si="5"/>
        <v>20.66</v>
      </c>
    </row>
    <row r="67" spans="2:17" s="170" customFormat="1" ht="22.9" customHeight="1" x14ac:dyDescent="0.2">
      <c r="B67" s="165"/>
      <c r="C67" s="252"/>
      <c r="D67" s="253" t="s">
        <v>4</v>
      </c>
      <c r="E67" s="254" t="s">
        <v>412</v>
      </c>
      <c r="F67" s="254" t="s">
        <v>413</v>
      </c>
      <c r="G67" s="252"/>
      <c r="H67" s="252"/>
      <c r="I67" s="255"/>
      <c r="J67" s="256">
        <f>+SUBTOTAL(9,J68)</f>
        <v>5503.6</v>
      </c>
      <c r="K67" s="261"/>
      <c r="L67" s="262"/>
      <c r="M67" s="279">
        <f>M68</f>
        <v>-4685.4990000000007</v>
      </c>
      <c r="N67" s="280"/>
      <c r="O67" s="262"/>
      <c r="P67" s="279">
        <f>P68</f>
        <v>818.10299999999984</v>
      </c>
      <c r="Q67" s="121">
        <f t="shared" si="5"/>
        <v>0</v>
      </c>
    </row>
    <row r="68" spans="2:17" s="121" customFormat="1" ht="16.5" customHeight="1" x14ac:dyDescent="0.2">
      <c r="B68" s="120"/>
      <c r="C68" s="56" t="s">
        <v>245</v>
      </c>
      <c r="D68" s="56" t="s">
        <v>96</v>
      </c>
      <c r="E68" s="57" t="s">
        <v>415</v>
      </c>
      <c r="F68" s="58" t="s">
        <v>416</v>
      </c>
      <c r="G68" s="59" t="s">
        <v>201</v>
      </c>
      <c r="H68" s="60">
        <v>48.1</v>
      </c>
      <c r="I68" s="61">
        <v>114.42</v>
      </c>
      <c r="J68" s="60">
        <v>5503.6</v>
      </c>
      <c r="K68" s="68">
        <v>-40.950000000000003</v>
      </c>
      <c r="L68" s="69">
        <f t="shared" si="0"/>
        <v>114.42</v>
      </c>
      <c r="M68" s="273">
        <f t="shared" si="1"/>
        <v>-4685.4990000000007</v>
      </c>
      <c r="N68" s="71">
        <f t="shared" si="2"/>
        <v>7.1499999999999986</v>
      </c>
      <c r="O68" s="72">
        <f t="shared" si="3"/>
        <v>114.42</v>
      </c>
      <c r="P68" s="274">
        <f t="shared" si="4"/>
        <v>818.10299999999984</v>
      </c>
      <c r="Q68" s="121">
        <f t="shared" si="5"/>
        <v>58.66</v>
      </c>
    </row>
    <row r="69" spans="2:17" s="121" customFormat="1" ht="6.95" customHeight="1" x14ac:dyDescent="0.2">
      <c r="B69" s="120"/>
      <c r="C69" s="120"/>
      <c r="D69" s="120"/>
      <c r="E69" s="120"/>
      <c r="F69" s="120"/>
      <c r="G69" s="120"/>
      <c r="H69" s="120"/>
      <c r="I69" s="153"/>
      <c r="J69" s="120"/>
    </row>
    <row r="70" spans="2:17" ht="18" customHeight="1" x14ac:dyDescent="0.2">
      <c r="D70" s="42"/>
      <c r="E70" s="43" t="s">
        <v>906</v>
      </c>
      <c r="F70" s="44"/>
      <c r="G70" s="44"/>
      <c r="H70" s="45"/>
      <c r="I70" s="44"/>
      <c r="J70" s="46">
        <f>ROUND(SUBTOTAL(9,J12:J68),2)</f>
        <v>214892.3</v>
      </c>
      <c r="K70" s="49"/>
      <c r="L70" s="46"/>
      <c r="M70" s="281">
        <f>M67+M64+M43+M40+M37+M34+M14</f>
        <v>-153544.96836700902</v>
      </c>
      <c r="N70" s="49"/>
      <c r="O70" s="46"/>
      <c r="P70" s="281">
        <f>P67+P64+P43+P40+P37+P34+P14</f>
        <v>61347.479132991015</v>
      </c>
    </row>
    <row r="71" spans="2:17" ht="12.75" x14ac:dyDescent="0.2">
      <c r="H71" s="50"/>
      <c r="I71" s="8"/>
      <c r="J71" s="9"/>
    </row>
    <row r="72" spans="2:17" ht="14.25" x14ac:dyDescent="0.2">
      <c r="E72" s="6" t="s">
        <v>849</v>
      </c>
      <c r="F72" s="6"/>
      <c r="G72" s="320" t="s">
        <v>1224</v>
      </c>
      <c r="H72" s="50"/>
      <c r="I72" s="8"/>
      <c r="J72" s="6"/>
      <c r="K72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mergeCells count="2">
    <mergeCell ref="K9:M9"/>
    <mergeCell ref="N9:P9"/>
  </mergeCells>
  <conditionalFormatting sqref="G72:I72 L72:P72">
    <cfRule type="cellIs" dxfId="338" priority="4" operator="lessThan">
      <formula>0</formula>
    </cfRule>
  </conditionalFormatting>
  <conditionalFormatting sqref="G72:I72 L72:M72">
    <cfRule type="cellIs" dxfId="337" priority="3" operator="lessThan">
      <formula>0</formula>
    </cfRule>
  </conditionalFormatting>
  <conditionalFormatting sqref="G72:I72">
    <cfRule type="cellIs" dxfId="336" priority="2" operator="lessThan">
      <formula>0</formula>
    </cfRule>
  </conditionalFormatting>
  <conditionalFormatting sqref="G72:I72">
    <cfRule type="cellIs" dxfId="335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3" fitToHeight="0" orientation="landscape" r:id="rId1"/>
  <headerFooter>
    <oddFooter>&amp;CStrana &amp;P z &amp;N</oddFooter>
  </headerFooter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B1:AY85"/>
  <sheetViews>
    <sheetView showGridLines="0" view="pageBreakPreview" topLeftCell="E58" zoomScale="85" zoomScaleNormal="100" zoomScaleSheetLayoutView="85" workbookViewId="0">
      <selection activeCell="L66" sqref="L66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14" style="8" customWidth="1"/>
    <col min="12" max="12" width="22.6640625" style="8" customWidth="1"/>
    <col min="13" max="13" width="21" style="8" bestFit="1" customWidth="1"/>
    <col min="14" max="14" width="9.33203125" style="8"/>
    <col min="15" max="15" width="20" style="8" customWidth="1"/>
    <col min="16" max="16" width="21" style="8" bestFit="1" customWidth="1"/>
    <col min="17" max="17" width="26" style="8" hidden="1" customWidth="1"/>
    <col min="18" max="18" width="35.6640625" style="8" hidden="1" customWidth="1"/>
    <col min="19" max="19" width="40.6640625" style="8" hidden="1" customWidth="1"/>
    <col min="20" max="20" width="39.33203125" style="8" hidden="1" customWidth="1"/>
    <col min="21" max="21" width="32" style="8" hidden="1" customWidth="1"/>
    <col min="22" max="22" width="32.1640625" style="8" hidden="1" customWidth="1"/>
    <col min="23" max="23" width="47.5" style="8" hidden="1" customWidth="1"/>
    <col min="24" max="24" width="46.1640625" style="8" hidden="1" customWidth="1"/>
    <col min="25" max="25" width="30.83203125" style="8" hidden="1" customWidth="1"/>
    <col min="26" max="26" width="26.1640625" style="8" hidden="1" customWidth="1"/>
    <col min="27" max="27" width="22" style="8" hidden="1" customWidth="1"/>
    <col min="28" max="28" width="26" style="8" hidden="1" customWidth="1"/>
    <col min="29" max="29" width="34.6640625" style="8" hidden="1" customWidth="1"/>
    <col min="30" max="30" width="0" style="8" hidden="1" customWidth="1"/>
    <col min="31" max="31" width="20.1640625" style="8" hidden="1" customWidth="1"/>
    <col min="32" max="33" width="0" style="8" hidden="1" customWidth="1"/>
    <col min="34" max="34" width="23.5" style="8" hidden="1" customWidth="1"/>
    <col min="35" max="35" width="25.5" style="213" hidden="1" customWidth="1"/>
    <col min="36" max="36" width="28.5" style="8" hidden="1" customWidth="1"/>
    <col min="37" max="37" width="24" style="8" hidden="1" customWidth="1"/>
    <col min="38" max="38" width="22" style="8" hidden="1" customWidth="1"/>
    <col min="39" max="39" width="0" style="8" hidden="1" customWidth="1"/>
    <col min="40" max="40" width="28.33203125" style="8" hidden="1" customWidth="1"/>
    <col min="41" max="42" width="0" style="8" hidden="1" customWidth="1"/>
    <col min="43" max="43" width="19.6640625" style="8" hidden="1" customWidth="1"/>
    <col min="44" max="45" width="0" style="8" hidden="1" customWidth="1"/>
    <col min="46" max="46" width="15.1640625" style="8" hidden="1" customWidth="1"/>
    <col min="47" max="47" width="0" style="8" hidden="1" customWidth="1"/>
    <col min="48" max="48" width="15" style="8" hidden="1" customWidth="1"/>
    <col min="49" max="49" width="11.5" style="8" hidden="1" customWidth="1"/>
    <col min="50" max="50" width="20.33203125" style="8" hidden="1" customWidth="1"/>
    <col min="51" max="51" width="28.1640625" style="8" customWidth="1"/>
    <col min="52" max="16384" width="9.33203125" style="8"/>
  </cols>
  <sheetData>
    <row r="1" spans="2:51" ht="15" x14ac:dyDescent="0.2">
      <c r="F1" s="11"/>
      <c r="G1" s="89"/>
      <c r="H1" s="88"/>
      <c r="I1" s="8"/>
      <c r="J1" s="9"/>
    </row>
    <row r="2" spans="2:51" s="88" customFormat="1" ht="15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  <c r="AI2" s="214"/>
    </row>
    <row r="3" spans="2:51" s="88" customFormat="1" ht="15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  <c r="AI3" s="214"/>
    </row>
    <row r="4" spans="2:51" s="13" customFormat="1" ht="15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  <c r="AI4" s="215"/>
    </row>
    <row r="5" spans="2:51" s="13" customFormat="1" ht="15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  <c r="AI5" s="215"/>
    </row>
    <row r="6" spans="2:51" s="13" customFormat="1" ht="15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  <c r="AI6" s="215"/>
    </row>
    <row r="7" spans="2:51" s="13" customFormat="1" ht="15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  <c r="AI7" s="215"/>
    </row>
    <row r="8" spans="2:51" s="14" customFormat="1" ht="12.75" x14ac:dyDescent="0.2">
      <c r="D8" s="146"/>
      <c r="F8" s="11"/>
      <c r="G8" s="105"/>
      <c r="H8" s="145"/>
      <c r="K8" s="149" t="s">
        <v>851</v>
      </c>
      <c r="L8" s="180" t="str">
        <f>+C12</f>
        <v>V - Veřejná část gravitačních přípojek</v>
      </c>
      <c r="M8" s="180"/>
      <c r="O8" s="151"/>
      <c r="AI8" s="216"/>
    </row>
    <row r="9" spans="2:51" s="15" customFormat="1" ht="12.75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  <c r="AI9" s="217"/>
    </row>
    <row r="10" spans="2:51" s="15" customFormat="1" ht="12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189" t="s">
        <v>932</v>
      </c>
      <c r="R10" s="189" t="s">
        <v>935</v>
      </c>
      <c r="W10" s="189" t="s">
        <v>976</v>
      </c>
      <c r="Y10" s="189" t="s">
        <v>990</v>
      </c>
      <c r="Z10" s="15" t="s">
        <v>1003</v>
      </c>
      <c r="AA10" s="189" t="s">
        <v>1020</v>
      </c>
      <c r="AE10" s="189" t="s">
        <v>1044</v>
      </c>
      <c r="AH10" s="189" t="s">
        <v>1060</v>
      </c>
      <c r="AI10" s="217"/>
      <c r="AJ10" s="189" t="s">
        <v>1089</v>
      </c>
      <c r="AL10" s="189" t="s">
        <v>1110</v>
      </c>
      <c r="AN10" s="189" t="s">
        <v>1136</v>
      </c>
      <c r="AQ10" s="15" t="s">
        <v>1146</v>
      </c>
      <c r="AT10" s="189" t="s">
        <v>1163</v>
      </c>
      <c r="AV10" s="189" t="s">
        <v>1176</v>
      </c>
    </row>
    <row r="11" spans="2:51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  <c r="AI11" s="217"/>
    </row>
    <row r="12" spans="2:51" s="121" customFormat="1" ht="15.75" x14ac:dyDescent="0.25">
      <c r="B12" s="120"/>
      <c r="C12" s="152" t="s">
        <v>506</v>
      </c>
      <c r="D12" s="120"/>
      <c r="E12" s="120"/>
      <c r="F12" s="120"/>
      <c r="G12" s="120"/>
      <c r="H12" s="120"/>
      <c r="I12" s="153"/>
      <c r="J12" s="154">
        <f>+SUBTOTAL(9,J13:J81)</f>
        <v>8748429.9000000004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  <c r="Z12" s="334" t="s">
        <v>1012</v>
      </c>
      <c r="AI12" s="191"/>
    </row>
    <row r="13" spans="2:51" s="170" customFormat="1" ht="15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+SUBTOTAL(9,J14:J81)</f>
        <v>8748429.9000000004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  <c r="Z13" s="334"/>
      <c r="AE13" s="197" t="s">
        <v>931</v>
      </c>
      <c r="AI13" s="218"/>
      <c r="AQ13" s="197" t="s">
        <v>931</v>
      </c>
    </row>
    <row r="14" spans="2:51" s="170" customFormat="1" ht="12.75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+SUBTOTAL(9,J15:J45)</f>
        <v>4741912.4000000004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SUM(M15:M45)</f>
        <v>174630.93520000001</v>
      </c>
      <c r="N14" s="278" t="str">
        <f>IF(ISBLANK(H14),"",H14-K14)</f>
        <v/>
      </c>
      <c r="O14" s="272" t="str">
        <f>IF(ISBLANK(H14),"",J14-L14)</f>
        <v/>
      </c>
      <c r="P14" s="272">
        <f>SUM(P15:P45)</f>
        <v>4916543.2485000007</v>
      </c>
      <c r="Z14" s="334"/>
      <c r="AI14" s="218"/>
      <c r="AT14" s="197" t="s">
        <v>1081</v>
      </c>
      <c r="AV14" s="197" t="s">
        <v>931</v>
      </c>
      <c r="AY14" s="218"/>
    </row>
    <row r="15" spans="2:51" s="121" customFormat="1" ht="12" x14ac:dyDescent="0.2">
      <c r="B15" s="120"/>
      <c r="C15" s="56" t="s">
        <v>7</v>
      </c>
      <c r="D15" s="56" t="s">
        <v>96</v>
      </c>
      <c r="E15" s="57" t="s">
        <v>507</v>
      </c>
      <c r="F15" s="58" t="s">
        <v>508</v>
      </c>
      <c r="G15" s="59" t="s">
        <v>0</v>
      </c>
      <c r="H15" s="60">
        <v>0</v>
      </c>
      <c r="I15" s="61"/>
      <c r="J15" s="60">
        <v>0</v>
      </c>
      <c r="K15" s="68">
        <v>0</v>
      </c>
      <c r="L15" s="69">
        <f>I15</f>
        <v>0</v>
      </c>
      <c r="M15" s="273">
        <f>K15*L15</f>
        <v>0</v>
      </c>
      <c r="N15" s="71">
        <f>H15+K15</f>
        <v>0</v>
      </c>
      <c r="O15" s="72">
        <f>I15</f>
        <v>0</v>
      </c>
      <c r="P15" s="274">
        <f>N15*O15</f>
        <v>0</v>
      </c>
      <c r="Q15" s="185"/>
      <c r="R15" s="185"/>
      <c r="S15" s="185"/>
      <c r="T15" s="185"/>
      <c r="U15" s="185"/>
      <c r="V15" s="185"/>
      <c r="W15" s="185"/>
      <c r="X15" s="185"/>
      <c r="AI15" s="191"/>
    </row>
    <row r="16" spans="2:51" s="121" customFormat="1" ht="12" x14ac:dyDescent="0.2">
      <c r="B16" s="120"/>
      <c r="C16" s="56" t="s">
        <v>8</v>
      </c>
      <c r="D16" s="56" t="s">
        <v>96</v>
      </c>
      <c r="E16" s="57" t="s">
        <v>106</v>
      </c>
      <c r="F16" s="58" t="s">
        <v>107</v>
      </c>
      <c r="G16" s="59" t="s">
        <v>108</v>
      </c>
      <c r="H16" s="60">
        <v>182.05</v>
      </c>
      <c r="I16" s="61">
        <v>31.57</v>
      </c>
      <c r="J16" s="60">
        <v>5747.3</v>
      </c>
      <c r="K16" s="68">
        <f>ROUND(H16*$K$71/$H$71,2)</f>
        <v>6.8</v>
      </c>
      <c r="L16" s="69">
        <f t="shared" ref="L16:L79" si="0">I16</f>
        <v>31.57</v>
      </c>
      <c r="M16" s="273">
        <f t="shared" ref="M16:M79" si="1">K16*L16</f>
        <v>214.67599999999999</v>
      </c>
      <c r="N16" s="71">
        <f t="shared" ref="N16:N79" si="2">H16+K16</f>
        <v>188.85000000000002</v>
      </c>
      <c r="O16" s="72">
        <f t="shared" ref="O16:O79" si="3">I16</f>
        <v>31.57</v>
      </c>
      <c r="P16" s="274">
        <f t="shared" ref="P16:P79" si="4">N16*O16</f>
        <v>5961.9945000000007</v>
      </c>
      <c r="Q16" s="185"/>
      <c r="R16" s="185"/>
      <c r="S16" s="185"/>
      <c r="T16" s="185"/>
      <c r="U16" s="185"/>
      <c r="V16" s="185"/>
      <c r="W16" s="185"/>
      <c r="X16" s="185"/>
      <c r="AI16" s="191"/>
    </row>
    <row r="17" spans="2:35" s="121" customFormat="1" ht="12" x14ac:dyDescent="0.2">
      <c r="B17" s="120"/>
      <c r="C17" s="56" t="s">
        <v>13</v>
      </c>
      <c r="D17" s="56" t="s">
        <v>96</v>
      </c>
      <c r="E17" s="57" t="s">
        <v>110</v>
      </c>
      <c r="F17" s="58" t="s">
        <v>111</v>
      </c>
      <c r="G17" s="59" t="s">
        <v>108</v>
      </c>
      <c r="H17" s="60">
        <v>182.05</v>
      </c>
      <c r="I17" s="61">
        <v>23.67</v>
      </c>
      <c r="J17" s="60">
        <v>4309.1000000000004</v>
      </c>
      <c r="K17" s="68">
        <f>ROUND(H17*$K$71/$H$71,2)</f>
        <v>6.8</v>
      </c>
      <c r="L17" s="69">
        <f t="shared" si="0"/>
        <v>23.67</v>
      </c>
      <c r="M17" s="273">
        <f t="shared" si="1"/>
        <v>160.95600000000002</v>
      </c>
      <c r="N17" s="71">
        <f t="shared" si="2"/>
        <v>188.85000000000002</v>
      </c>
      <c r="O17" s="72">
        <f t="shared" si="3"/>
        <v>23.67</v>
      </c>
      <c r="P17" s="274">
        <f t="shared" si="4"/>
        <v>4470.0795000000007</v>
      </c>
      <c r="Q17" s="186"/>
      <c r="R17" s="185"/>
      <c r="S17" s="185"/>
      <c r="T17" s="185"/>
      <c r="U17" s="185"/>
      <c r="V17" s="185"/>
      <c r="W17" s="185"/>
      <c r="X17" s="185"/>
      <c r="Z17" s="186" t="s">
        <v>1013</v>
      </c>
      <c r="AI17" s="191"/>
    </row>
    <row r="18" spans="2:35" s="121" customFormat="1" ht="12" x14ac:dyDescent="0.2">
      <c r="B18" s="120"/>
      <c r="C18" s="56" t="s">
        <v>100</v>
      </c>
      <c r="D18" s="56" t="s">
        <v>96</v>
      </c>
      <c r="E18" s="57" t="s">
        <v>113</v>
      </c>
      <c r="F18" s="58" t="s">
        <v>114</v>
      </c>
      <c r="G18" s="59" t="s">
        <v>108</v>
      </c>
      <c r="H18" s="60">
        <v>191.95</v>
      </c>
      <c r="I18" s="61">
        <v>26.3</v>
      </c>
      <c r="J18" s="60">
        <v>5048.3</v>
      </c>
      <c r="K18" s="68">
        <f>ROUND(H18*$K$71/$H$71,2)</f>
        <v>7.17</v>
      </c>
      <c r="L18" s="69">
        <f t="shared" si="0"/>
        <v>26.3</v>
      </c>
      <c r="M18" s="273">
        <f t="shared" si="1"/>
        <v>188.571</v>
      </c>
      <c r="N18" s="71">
        <f t="shared" si="2"/>
        <v>199.11999999999998</v>
      </c>
      <c r="O18" s="72">
        <f t="shared" si="3"/>
        <v>26.3</v>
      </c>
      <c r="P18" s="274">
        <f t="shared" si="4"/>
        <v>5236.8559999999998</v>
      </c>
      <c r="Q18" s="185"/>
      <c r="R18" s="185"/>
      <c r="S18" s="185"/>
      <c r="T18" s="185"/>
      <c r="U18" s="185"/>
      <c r="V18" s="185"/>
      <c r="W18" s="185"/>
      <c r="X18" s="185"/>
      <c r="Z18" s="186" t="s">
        <v>1014</v>
      </c>
      <c r="AI18" s="191"/>
    </row>
    <row r="19" spans="2:35" s="121" customFormat="1" ht="12" x14ac:dyDescent="0.2">
      <c r="B19" s="120"/>
      <c r="C19" s="56" t="s">
        <v>105</v>
      </c>
      <c r="D19" s="56" t="s">
        <v>96</v>
      </c>
      <c r="E19" s="57" t="s">
        <v>116</v>
      </c>
      <c r="F19" s="58" t="s">
        <v>117</v>
      </c>
      <c r="G19" s="59" t="s">
        <v>108</v>
      </c>
      <c r="H19" s="60">
        <v>935.55</v>
      </c>
      <c r="I19" s="61">
        <v>40.770000000000003</v>
      </c>
      <c r="J19" s="60">
        <v>38142.400000000001</v>
      </c>
      <c r="K19" s="68">
        <f>ROUND(H19*$K$71/$H$71,2)</f>
        <v>34.96</v>
      </c>
      <c r="L19" s="69">
        <f t="shared" si="0"/>
        <v>40.770000000000003</v>
      </c>
      <c r="M19" s="273">
        <f t="shared" si="1"/>
        <v>1425.3192000000001</v>
      </c>
      <c r="N19" s="71">
        <f t="shared" si="2"/>
        <v>970.51</v>
      </c>
      <c r="O19" s="72">
        <f t="shared" si="3"/>
        <v>40.770000000000003</v>
      </c>
      <c r="P19" s="274">
        <f t="shared" si="4"/>
        <v>39567.6927</v>
      </c>
      <c r="Q19" s="185"/>
      <c r="R19" s="185"/>
      <c r="S19" s="185"/>
      <c r="T19" s="185"/>
      <c r="U19" s="185"/>
      <c r="V19" s="185"/>
      <c r="W19" s="185"/>
      <c r="X19" s="185"/>
      <c r="Z19" s="186" t="s">
        <v>1013</v>
      </c>
      <c r="AI19" s="191"/>
    </row>
    <row r="20" spans="2:35" s="121" customFormat="1" ht="12" x14ac:dyDescent="0.2">
      <c r="B20" s="120"/>
      <c r="C20" s="56" t="s">
        <v>109</v>
      </c>
      <c r="D20" s="56" t="s">
        <v>96</v>
      </c>
      <c r="E20" s="57" t="s">
        <v>119</v>
      </c>
      <c r="F20" s="58" t="s">
        <v>120</v>
      </c>
      <c r="G20" s="59" t="s">
        <v>108</v>
      </c>
      <c r="H20" s="60">
        <v>160.05000000000001</v>
      </c>
      <c r="I20" s="61">
        <v>53.92</v>
      </c>
      <c r="J20" s="60">
        <v>8629.9</v>
      </c>
      <c r="K20" s="68"/>
      <c r="L20" s="69">
        <f t="shared" si="0"/>
        <v>53.92</v>
      </c>
      <c r="M20" s="273">
        <f t="shared" si="1"/>
        <v>0</v>
      </c>
      <c r="N20" s="71">
        <f t="shared" si="2"/>
        <v>160.05000000000001</v>
      </c>
      <c r="O20" s="72">
        <f t="shared" si="3"/>
        <v>53.92</v>
      </c>
      <c r="P20" s="274">
        <f t="shared" si="4"/>
        <v>8629.8960000000006</v>
      </c>
      <c r="Q20" s="185"/>
      <c r="R20" s="185"/>
      <c r="S20" s="185"/>
      <c r="T20" s="185"/>
      <c r="U20" s="185"/>
      <c r="V20" s="185"/>
      <c r="W20" s="185"/>
      <c r="X20" s="185"/>
      <c r="AI20" s="191"/>
    </row>
    <row r="21" spans="2:35" s="121" customFormat="1" ht="12" x14ac:dyDescent="0.2">
      <c r="B21" s="120"/>
      <c r="C21" s="56" t="s">
        <v>112</v>
      </c>
      <c r="D21" s="56" t="s">
        <v>96</v>
      </c>
      <c r="E21" s="57" t="s">
        <v>122</v>
      </c>
      <c r="F21" s="58" t="s">
        <v>123</v>
      </c>
      <c r="G21" s="59" t="s">
        <v>108</v>
      </c>
      <c r="H21" s="60">
        <v>9.9</v>
      </c>
      <c r="I21" s="61">
        <v>336.7</v>
      </c>
      <c r="J21" s="60">
        <v>3333.3</v>
      </c>
      <c r="K21" s="68"/>
      <c r="L21" s="69">
        <f t="shared" si="0"/>
        <v>336.7</v>
      </c>
      <c r="M21" s="273">
        <f t="shared" si="1"/>
        <v>0</v>
      </c>
      <c r="N21" s="71">
        <f t="shared" si="2"/>
        <v>9.9</v>
      </c>
      <c r="O21" s="72">
        <f t="shared" si="3"/>
        <v>336.7</v>
      </c>
      <c r="P21" s="274">
        <f t="shared" si="4"/>
        <v>3333.33</v>
      </c>
      <c r="Q21" s="185"/>
      <c r="R21" s="185"/>
      <c r="S21" s="185"/>
      <c r="T21" s="185"/>
      <c r="U21" s="185"/>
      <c r="V21" s="185"/>
      <c r="W21" s="185"/>
      <c r="X21" s="185"/>
      <c r="AI21" s="191"/>
    </row>
    <row r="22" spans="2:35" s="121" customFormat="1" ht="12" x14ac:dyDescent="0.2">
      <c r="B22" s="120"/>
      <c r="C22" s="56" t="s">
        <v>115</v>
      </c>
      <c r="D22" s="56" t="s">
        <v>96</v>
      </c>
      <c r="E22" s="57" t="s">
        <v>125</v>
      </c>
      <c r="F22" s="58" t="s">
        <v>126</v>
      </c>
      <c r="G22" s="59" t="s">
        <v>108</v>
      </c>
      <c r="H22" s="60">
        <v>1499.4</v>
      </c>
      <c r="I22" s="61">
        <v>55.24</v>
      </c>
      <c r="J22" s="60">
        <v>82826.899999999994</v>
      </c>
      <c r="K22" s="68">
        <f t="shared" ref="K22:K23" si="5">ROUND(H22*$K$71/$H$71,2)</f>
        <v>56.04</v>
      </c>
      <c r="L22" s="69">
        <f t="shared" si="0"/>
        <v>55.24</v>
      </c>
      <c r="M22" s="273">
        <f t="shared" si="1"/>
        <v>3095.6496000000002</v>
      </c>
      <c r="N22" s="71">
        <f t="shared" si="2"/>
        <v>1555.44</v>
      </c>
      <c r="O22" s="72">
        <f t="shared" si="3"/>
        <v>55.24</v>
      </c>
      <c r="P22" s="274">
        <f t="shared" si="4"/>
        <v>85922.505600000004</v>
      </c>
      <c r="Q22" s="185"/>
      <c r="R22" s="185"/>
      <c r="S22" s="185"/>
      <c r="T22" s="185"/>
      <c r="U22" s="185"/>
      <c r="V22" s="185"/>
      <c r="W22" s="185"/>
      <c r="X22" s="185"/>
      <c r="AI22" s="191"/>
    </row>
    <row r="23" spans="2:35" s="121" customFormat="1" ht="12" x14ac:dyDescent="0.2">
      <c r="B23" s="120"/>
      <c r="C23" s="56" t="s">
        <v>118</v>
      </c>
      <c r="D23" s="56" t="s">
        <v>96</v>
      </c>
      <c r="E23" s="57" t="s">
        <v>128</v>
      </c>
      <c r="F23" s="58" t="s">
        <v>129</v>
      </c>
      <c r="G23" s="59" t="s">
        <v>108</v>
      </c>
      <c r="H23" s="60">
        <v>785.4</v>
      </c>
      <c r="I23" s="61">
        <v>151.25</v>
      </c>
      <c r="J23" s="60">
        <v>118791.8</v>
      </c>
      <c r="K23" s="68">
        <f t="shared" si="5"/>
        <v>29.35</v>
      </c>
      <c r="L23" s="69">
        <f t="shared" si="0"/>
        <v>151.25</v>
      </c>
      <c r="M23" s="273">
        <f t="shared" si="1"/>
        <v>4439.1875</v>
      </c>
      <c r="N23" s="71">
        <f t="shared" si="2"/>
        <v>814.75</v>
      </c>
      <c r="O23" s="72">
        <f t="shared" si="3"/>
        <v>151.25</v>
      </c>
      <c r="P23" s="274">
        <f t="shared" si="4"/>
        <v>123230.9375</v>
      </c>
      <c r="Q23" s="188"/>
      <c r="R23" s="185"/>
      <c r="S23" s="185"/>
      <c r="T23" s="185"/>
      <c r="U23" s="185"/>
      <c r="V23" s="185"/>
      <c r="W23" s="185"/>
      <c r="X23" s="185"/>
      <c r="AI23" s="191"/>
    </row>
    <row r="24" spans="2:35" s="121" customFormat="1" ht="12" x14ac:dyDescent="0.2">
      <c r="B24" s="120"/>
      <c r="C24" s="56" t="s">
        <v>121</v>
      </c>
      <c r="D24" s="56" t="s">
        <v>96</v>
      </c>
      <c r="E24" s="57" t="s">
        <v>142</v>
      </c>
      <c r="F24" s="58" t="s">
        <v>143</v>
      </c>
      <c r="G24" s="59" t="s">
        <v>133</v>
      </c>
      <c r="H24" s="60">
        <v>95.7</v>
      </c>
      <c r="I24" s="61">
        <v>170.98</v>
      </c>
      <c r="J24" s="60">
        <v>16362.8</v>
      </c>
      <c r="K24" s="68"/>
      <c r="L24" s="69">
        <f t="shared" si="0"/>
        <v>170.98</v>
      </c>
      <c r="M24" s="273">
        <f t="shared" si="1"/>
        <v>0</v>
      </c>
      <c r="N24" s="71">
        <f t="shared" si="2"/>
        <v>95.7</v>
      </c>
      <c r="O24" s="72">
        <f t="shared" si="3"/>
        <v>170.98</v>
      </c>
      <c r="P24" s="274">
        <f t="shared" si="4"/>
        <v>16362.786</v>
      </c>
      <c r="Q24" s="188"/>
      <c r="R24" s="185"/>
      <c r="S24" s="185"/>
      <c r="T24" s="185"/>
      <c r="U24" s="185"/>
      <c r="V24" s="185"/>
      <c r="W24" s="185"/>
      <c r="X24" s="185"/>
      <c r="AI24" s="191"/>
    </row>
    <row r="25" spans="2:35" s="121" customFormat="1" ht="12" x14ac:dyDescent="0.2">
      <c r="B25" s="120"/>
      <c r="C25" s="56" t="s">
        <v>124</v>
      </c>
      <c r="D25" s="56" t="s">
        <v>96</v>
      </c>
      <c r="E25" s="57" t="s">
        <v>145</v>
      </c>
      <c r="F25" s="58" t="s">
        <v>146</v>
      </c>
      <c r="G25" s="59" t="s">
        <v>133</v>
      </c>
      <c r="H25" s="60">
        <v>143.55000000000001</v>
      </c>
      <c r="I25" s="61">
        <v>147.30000000000001</v>
      </c>
      <c r="J25" s="60">
        <v>21144.9</v>
      </c>
      <c r="K25" s="68"/>
      <c r="L25" s="69">
        <f t="shared" si="0"/>
        <v>147.30000000000001</v>
      </c>
      <c r="M25" s="273">
        <f t="shared" si="1"/>
        <v>0</v>
      </c>
      <c r="N25" s="71">
        <f t="shared" si="2"/>
        <v>143.55000000000001</v>
      </c>
      <c r="O25" s="72">
        <f t="shared" si="3"/>
        <v>147.30000000000001</v>
      </c>
      <c r="P25" s="274">
        <f t="shared" si="4"/>
        <v>21144.915000000005</v>
      </c>
      <c r="Q25" s="188"/>
      <c r="R25" s="185"/>
      <c r="S25" s="185"/>
      <c r="T25" s="185"/>
      <c r="U25" s="185"/>
      <c r="V25" s="185"/>
      <c r="W25" s="185"/>
      <c r="X25" s="185"/>
      <c r="AI25" s="191"/>
    </row>
    <row r="26" spans="2:35" s="121" customFormat="1" ht="12" x14ac:dyDescent="0.2">
      <c r="B26" s="120"/>
      <c r="C26" s="56" t="s">
        <v>127</v>
      </c>
      <c r="D26" s="56" t="s">
        <v>96</v>
      </c>
      <c r="E26" s="57" t="s">
        <v>148</v>
      </c>
      <c r="F26" s="58" t="s">
        <v>149</v>
      </c>
      <c r="G26" s="59" t="s">
        <v>150</v>
      </c>
      <c r="H26" s="60">
        <v>70.180000000000007</v>
      </c>
      <c r="I26" s="61">
        <v>38.14</v>
      </c>
      <c r="J26" s="60">
        <v>2676.7</v>
      </c>
      <c r="K26" s="68"/>
      <c r="L26" s="69">
        <f t="shared" si="0"/>
        <v>38.14</v>
      </c>
      <c r="M26" s="273">
        <f t="shared" si="1"/>
        <v>0</v>
      </c>
      <c r="N26" s="71">
        <f t="shared" si="2"/>
        <v>70.180000000000007</v>
      </c>
      <c r="O26" s="72">
        <f t="shared" si="3"/>
        <v>38.14</v>
      </c>
      <c r="P26" s="274">
        <f t="shared" si="4"/>
        <v>2676.6652000000004</v>
      </c>
      <c r="Q26" s="185"/>
      <c r="R26" s="185"/>
      <c r="S26" s="185"/>
      <c r="T26" s="185"/>
      <c r="U26" s="185"/>
      <c r="V26" s="185"/>
      <c r="W26" s="185"/>
      <c r="X26" s="185"/>
      <c r="AI26" s="191"/>
    </row>
    <row r="27" spans="2:35" s="121" customFormat="1" ht="12" x14ac:dyDescent="0.2">
      <c r="B27" s="120"/>
      <c r="C27" s="56" t="s">
        <v>130</v>
      </c>
      <c r="D27" s="56" t="s">
        <v>96</v>
      </c>
      <c r="E27" s="57" t="s">
        <v>152</v>
      </c>
      <c r="F27" s="58" t="s">
        <v>153</v>
      </c>
      <c r="G27" s="59" t="s">
        <v>108</v>
      </c>
      <c r="H27" s="60">
        <v>113.5</v>
      </c>
      <c r="I27" s="61">
        <v>38.14</v>
      </c>
      <c r="J27" s="60">
        <v>4328.8999999999996</v>
      </c>
      <c r="K27" s="68"/>
      <c r="L27" s="69">
        <f t="shared" si="0"/>
        <v>38.14</v>
      </c>
      <c r="M27" s="273">
        <f t="shared" si="1"/>
        <v>0</v>
      </c>
      <c r="N27" s="71">
        <f t="shared" si="2"/>
        <v>113.5</v>
      </c>
      <c r="O27" s="72">
        <f t="shared" si="3"/>
        <v>38.14</v>
      </c>
      <c r="P27" s="274">
        <f t="shared" si="4"/>
        <v>4328.8900000000003</v>
      </c>
      <c r="Q27" s="185"/>
      <c r="R27" s="185"/>
      <c r="S27" s="185"/>
      <c r="T27" s="185"/>
      <c r="U27" s="185"/>
      <c r="V27" s="185"/>
      <c r="W27" s="185"/>
      <c r="X27" s="185"/>
      <c r="AI27" s="191"/>
    </row>
    <row r="28" spans="2:35" s="121" customFormat="1" ht="19.5" customHeight="1" x14ac:dyDescent="0.2">
      <c r="B28" s="120"/>
      <c r="C28" s="56" t="s">
        <v>134</v>
      </c>
      <c r="D28" s="56" t="s">
        <v>96</v>
      </c>
      <c r="E28" s="57" t="s">
        <v>157</v>
      </c>
      <c r="F28" s="58" t="s">
        <v>158</v>
      </c>
      <c r="G28" s="59" t="s">
        <v>150</v>
      </c>
      <c r="H28" s="60">
        <v>957.46</v>
      </c>
      <c r="I28" s="61">
        <v>257.77999999999997</v>
      </c>
      <c r="J28" s="60">
        <v>246814</v>
      </c>
      <c r="K28" s="68">
        <f t="shared" ref="K28:K43" si="6">ROUND(H28*$K$71/$H$71,2)</f>
        <v>35.78</v>
      </c>
      <c r="L28" s="69">
        <f t="shared" si="0"/>
        <v>257.77999999999997</v>
      </c>
      <c r="M28" s="273">
        <f t="shared" si="1"/>
        <v>9223.3683999999994</v>
      </c>
      <c r="N28" s="71">
        <f t="shared" si="2"/>
        <v>993.24</v>
      </c>
      <c r="O28" s="72">
        <f t="shared" si="3"/>
        <v>257.77999999999997</v>
      </c>
      <c r="P28" s="274">
        <f t="shared" si="4"/>
        <v>256037.40719999999</v>
      </c>
      <c r="Q28" s="185"/>
      <c r="R28" s="185"/>
      <c r="S28" s="185"/>
      <c r="T28" s="185"/>
      <c r="U28" s="185"/>
      <c r="V28" s="185"/>
      <c r="W28" s="190" t="s">
        <v>985</v>
      </c>
      <c r="X28" s="185" t="s">
        <v>989</v>
      </c>
      <c r="Z28" s="334" t="s">
        <v>1015</v>
      </c>
      <c r="AI28" s="191"/>
    </row>
    <row r="29" spans="2:35" s="121" customFormat="1" ht="18.75" customHeight="1" x14ac:dyDescent="0.2">
      <c r="B29" s="120"/>
      <c r="C29" s="56" t="s">
        <v>2</v>
      </c>
      <c r="D29" s="56" t="s">
        <v>96</v>
      </c>
      <c r="E29" s="57" t="s">
        <v>160</v>
      </c>
      <c r="F29" s="58" t="s">
        <v>161</v>
      </c>
      <c r="G29" s="59" t="s">
        <v>150</v>
      </c>
      <c r="H29" s="60">
        <v>287.24</v>
      </c>
      <c r="I29" s="61">
        <v>13.15</v>
      </c>
      <c r="J29" s="60">
        <v>3777.2</v>
      </c>
      <c r="K29" s="68">
        <f t="shared" si="6"/>
        <v>10.73</v>
      </c>
      <c r="L29" s="69">
        <f t="shared" si="0"/>
        <v>13.15</v>
      </c>
      <c r="M29" s="273">
        <f t="shared" si="1"/>
        <v>141.09950000000001</v>
      </c>
      <c r="N29" s="71">
        <f t="shared" si="2"/>
        <v>297.97000000000003</v>
      </c>
      <c r="O29" s="72">
        <f t="shared" si="3"/>
        <v>13.15</v>
      </c>
      <c r="P29" s="274">
        <f t="shared" si="4"/>
        <v>3918.3055000000004</v>
      </c>
      <c r="Q29" s="185"/>
      <c r="R29" s="185"/>
      <c r="S29" s="185"/>
      <c r="T29" s="185"/>
      <c r="U29" s="185"/>
      <c r="V29" s="185"/>
      <c r="W29" s="190" t="s">
        <v>985</v>
      </c>
      <c r="X29" s="185" t="s">
        <v>989</v>
      </c>
      <c r="Z29" s="334"/>
      <c r="AH29" s="190" t="s">
        <v>1074</v>
      </c>
      <c r="AI29" s="191" t="s">
        <v>931</v>
      </c>
    </row>
    <row r="30" spans="2:35" s="121" customFormat="1" ht="20.25" customHeight="1" x14ac:dyDescent="0.2">
      <c r="B30" s="120"/>
      <c r="C30" s="56" t="s">
        <v>141</v>
      </c>
      <c r="D30" s="56" t="s">
        <v>96</v>
      </c>
      <c r="E30" s="57" t="s">
        <v>163</v>
      </c>
      <c r="F30" s="58" t="s">
        <v>164</v>
      </c>
      <c r="G30" s="59" t="s">
        <v>150</v>
      </c>
      <c r="H30" s="60">
        <v>841.01</v>
      </c>
      <c r="I30" s="61">
        <v>315.64999999999998</v>
      </c>
      <c r="J30" s="60">
        <v>265464.8</v>
      </c>
      <c r="K30" s="68">
        <f t="shared" si="6"/>
        <v>31.43</v>
      </c>
      <c r="L30" s="69">
        <f t="shared" si="0"/>
        <v>315.64999999999998</v>
      </c>
      <c r="M30" s="273">
        <f t="shared" si="1"/>
        <v>9920.8794999999991</v>
      </c>
      <c r="N30" s="71">
        <f t="shared" si="2"/>
        <v>872.43999999999994</v>
      </c>
      <c r="O30" s="72">
        <f t="shared" si="3"/>
        <v>315.64999999999998</v>
      </c>
      <c r="P30" s="274">
        <f t="shared" si="4"/>
        <v>275385.68599999999</v>
      </c>
      <c r="Q30" s="185"/>
      <c r="R30" s="185"/>
      <c r="S30" s="185"/>
      <c r="T30" s="185"/>
      <c r="U30" s="185"/>
      <c r="V30" s="185"/>
      <c r="W30" s="190" t="s">
        <v>985</v>
      </c>
      <c r="X30" s="185" t="s">
        <v>989</v>
      </c>
      <c r="Z30" s="334"/>
      <c r="AI30" s="191"/>
    </row>
    <row r="31" spans="2:35" s="121" customFormat="1" ht="15.75" customHeight="1" x14ac:dyDescent="0.2">
      <c r="B31" s="120"/>
      <c r="C31" s="56" t="s">
        <v>144</v>
      </c>
      <c r="D31" s="56" t="s">
        <v>96</v>
      </c>
      <c r="E31" s="57" t="s">
        <v>166</v>
      </c>
      <c r="F31" s="58" t="s">
        <v>167</v>
      </c>
      <c r="G31" s="59" t="s">
        <v>150</v>
      </c>
      <c r="H31" s="60">
        <v>252.3</v>
      </c>
      <c r="I31" s="61">
        <v>15.78</v>
      </c>
      <c r="J31" s="60">
        <v>3981.3</v>
      </c>
      <c r="K31" s="68">
        <f t="shared" si="6"/>
        <v>9.43</v>
      </c>
      <c r="L31" s="69">
        <f t="shared" si="0"/>
        <v>15.78</v>
      </c>
      <c r="M31" s="273">
        <f t="shared" si="1"/>
        <v>148.80539999999999</v>
      </c>
      <c r="N31" s="71">
        <f t="shared" si="2"/>
        <v>261.73</v>
      </c>
      <c r="O31" s="72">
        <f t="shared" si="3"/>
        <v>15.78</v>
      </c>
      <c r="P31" s="274">
        <f t="shared" si="4"/>
        <v>4130.0994000000001</v>
      </c>
      <c r="Q31" s="185"/>
      <c r="R31" s="185"/>
      <c r="S31" s="185"/>
      <c r="T31" s="185"/>
      <c r="U31" s="185"/>
      <c r="V31" s="185"/>
      <c r="W31" s="190" t="s">
        <v>985</v>
      </c>
      <c r="X31" s="185" t="s">
        <v>989</v>
      </c>
      <c r="Z31" s="334"/>
      <c r="AH31" s="190" t="s">
        <v>1074</v>
      </c>
      <c r="AI31" s="191" t="s">
        <v>931</v>
      </c>
    </row>
    <row r="32" spans="2:35" s="121" customFormat="1" ht="19.5" customHeight="1" x14ac:dyDescent="0.2">
      <c r="B32" s="120"/>
      <c r="C32" s="56" t="s">
        <v>147</v>
      </c>
      <c r="D32" s="56" t="s">
        <v>96</v>
      </c>
      <c r="E32" s="57" t="s">
        <v>169</v>
      </c>
      <c r="F32" s="58" t="s">
        <v>170</v>
      </c>
      <c r="G32" s="59" t="s">
        <v>150</v>
      </c>
      <c r="H32" s="60">
        <v>207.96</v>
      </c>
      <c r="I32" s="61">
        <v>837.79</v>
      </c>
      <c r="J32" s="60">
        <v>174226.8</v>
      </c>
      <c r="K32" s="68">
        <f t="shared" si="6"/>
        <v>7.77</v>
      </c>
      <c r="L32" s="69">
        <f t="shared" si="0"/>
        <v>837.79</v>
      </c>
      <c r="M32" s="273">
        <f t="shared" si="1"/>
        <v>6509.6282999999994</v>
      </c>
      <c r="N32" s="71">
        <f t="shared" si="2"/>
        <v>215.73000000000002</v>
      </c>
      <c r="O32" s="72">
        <f t="shared" si="3"/>
        <v>837.79</v>
      </c>
      <c r="P32" s="274">
        <f t="shared" si="4"/>
        <v>180736.43670000002</v>
      </c>
      <c r="Q32" s="188"/>
      <c r="R32" s="188"/>
      <c r="S32" s="188"/>
      <c r="T32" s="188"/>
      <c r="U32" s="188"/>
      <c r="V32" s="188"/>
      <c r="W32" s="190" t="s">
        <v>985</v>
      </c>
      <c r="X32" s="185" t="s">
        <v>989</v>
      </c>
      <c r="Z32" s="334"/>
      <c r="AI32" s="191"/>
    </row>
    <row r="33" spans="2:51" s="121" customFormat="1" ht="21" customHeight="1" x14ac:dyDescent="0.2">
      <c r="B33" s="120"/>
      <c r="C33" s="56" t="s">
        <v>151</v>
      </c>
      <c r="D33" s="56" t="s">
        <v>96</v>
      </c>
      <c r="E33" s="57" t="s">
        <v>172</v>
      </c>
      <c r="F33" s="58" t="s">
        <v>173</v>
      </c>
      <c r="G33" s="59" t="s">
        <v>150</v>
      </c>
      <c r="H33" s="60">
        <v>643.66999999999996</v>
      </c>
      <c r="I33" s="61">
        <v>1116.6199999999999</v>
      </c>
      <c r="J33" s="60">
        <v>718734.8</v>
      </c>
      <c r="K33" s="68">
        <f t="shared" si="6"/>
        <v>24.06</v>
      </c>
      <c r="L33" s="69">
        <f t="shared" si="0"/>
        <v>1116.6199999999999</v>
      </c>
      <c r="M33" s="273">
        <f t="shared" si="1"/>
        <v>26865.877199999995</v>
      </c>
      <c r="N33" s="71">
        <f t="shared" si="2"/>
        <v>667.7299999999999</v>
      </c>
      <c r="O33" s="72">
        <f t="shared" si="3"/>
        <v>1116.6199999999999</v>
      </c>
      <c r="P33" s="274">
        <f t="shared" si="4"/>
        <v>745600.67259999982</v>
      </c>
      <c r="Q33" s="188"/>
      <c r="R33" s="188"/>
      <c r="S33" s="188"/>
      <c r="T33" s="188"/>
      <c r="U33" s="188"/>
      <c r="V33" s="188"/>
      <c r="W33" s="190" t="s">
        <v>985</v>
      </c>
      <c r="X33" s="185" t="s">
        <v>989</v>
      </c>
      <c r="Z33" s="334"/>
      <c r="AI33" s="191"/>
    </row>
    <row r="34" spans="2:51" s="121" customFormat="1" ht="20.25" customHeight="1" x14ac:dyDescent="0.2">
      <c r="B34" s="120"/>
      <c r="C34" s="56" t="s">
        <v>154</v>
      </c>
      <c r="D34" s="56" t="s">
        <v>96</v>
      </c>
      <c r="E34" s="57" t="s">
        <v>175</v>
      </c>
      <c r="F34" s="58" t="s">
        <v>176</v>
      </c>
      <c r="G34" s="59" t="s">
        <v>108</v>
      </c>
      <c r="H34" s="60">
        <v>5724.21</v>
      </c>
      <c r="I34" s="61">
        <v>99.96</v>
      </c>
      <c r="J34" s="60">
        <v>572192</v>
      </c>
      <c r="K34" s="68">
        <f t="shared" si="6"/>
        <v>213.93</v>
      </c>
      <c r="L34" s="69">
        <f t="shared" si="0"/>
        <v>99.96</v>
      </c>
      <c r="M34" s="273">
        <f t="shared" si="1"/>
        <v>21384.442800000001</v>
      </c>
      <c r="N34" s="71">
        <f t="shared" si="2"/>
        <v>5938.14</v>
      </c>
      <c r="O34" s="72">
        <f t="shared" si="3"/>
        <v>99.96</v>
      </c>
      <c r="P34" s="274">
        <f t="shared" si="4"/>
        <v>593576.47439999995</v>
      </c>
      <c r="Q34" s="190"/>
      <c r="R34" s="186" t="s">
        <v>944</v>
      </c>
      <c r="S34" s="188" t="s">
        <v>956</v>
      </c>
      <c r="T34" s="190" t="s">
        <v>966</v>
      </c>
      <c r="U34" s="338" t="s">
        <v>967</v>
      </c>
      <c r="V34" s="334" t="s">
        <v>970</v>
      </c>
      <c r="W34" s="188"/>
      <c r="X34" s="185"/>
      <c r="Y34" s="190" t="s">
        <v>1000</v>
      </c>
      <c r="Z34" s="186" t="s">
        <v>1016</v>
      </c>
      <c r="AI34" s="191"/>
      <c r="AN34" s="334" t="s">
        <v>1142</v>
      </c>
      <c r="AO34" s="121" t="s">
        <v>925</v>
      </c>
    </row>
    <row r="35" spans="2:51" s="121" customFormat="1" ht="17.25" customHeight="1" x14ac:dyDescent="0.2">
      <c r="B35" s="120"/>
      <c r="C35" s="56" t="s">
        <v>1</v>
      </c>
      <c r="D35" s="56" t="s">
        <v>96</v>
      </c>
      <c r="E35" s="57" t="s">
        <v>181</v>
      </c>
      <c r="F35" s="58" t="s">
        <v>182</v>
      </c>
      <c r="G35" s="59" t="s">
        <v>108</v>
      </c>
      <c r="H35" s="60">
        <v>5724.21</v>
      </c>
      <c r="I35" s="61">
        <v>149.94</v>
      </c>
      <c r="J35" s="60">
        <v>858288</v>
      </c>
      <c r="K35" s="68">
        <f t="shared" si="6"/>
        <v>213.93</v>
      </c>
      <c r="L35" s="69">
        <f t="shared" si="0"/>
        <v>149.94</v>
      </c>
      <c r="M35" s="273">
        <f t="shared" si="1"/>
        <v>32076.664199999999</v>
      </c>
      <c r="N35" s="71">
        <f t="shared" si="2"/>
        <v>5938.14</v>
      </c>
      <c r="O35" s="72">
        <f t="shared" si="3"/>
        <v>149.94</v>
      </c>
      <c r="P35" s="274">
        <f t="shared" si="4"/>
        <v>890364.71160000004</v>
      </c>
      <c r="Q35" s="190"/>
      <c r="R35" s="186" t="s">
        <v>944</v>
      </c>
      <c r="S35" s="188" t="s">
        <v>956</v>
      </c>
      <c r="T35" s="190" t="s">
        <v>966</v>
      </c>
      <c r="U35" s="338"/>
      <c r="V35" s="334"/>
      <c r="W35" s="188"/>
      <c r="X35" s="185"/>
      <c r="Y35" s="190" t="s">
        <v>1000</v>
      </c>
      <c r="Z35" s="186" t="s">
        <v>1016</v>
      </c>
      <c r="AI35" s="191"/>
      <c r="AN35" s="334"/>
      <c r="AO35" s="121" t="s">
        <v>925</v>
      </c>
    </row>
    <row r="36" spans="2:51" s="121" customFormat="1" ht="12" x14ac:dyDescent="0.2">
      <c r="B36" s="120"/>
      <c r="C36" s="56" t="s">
        <v>159</v>
      </c>
      <c r="D36" s="56" t="s">
        <v>96</v>
      </c>
      <c r="E36" s="57" t="s">
        <v>187</v>
      </c>
      <c r="F36" s="58" t="s">
        <v>188</v>
      </c>
      <c r="G36" s="59" t="s">
        <v>150</v>
      </c>
      <c r="H36" s="60">
        <v>4463.5200000000004</v>
      </c>
      <c r="I36" s="61">
        <v>98.39</v>
      </c>
      <c r="J36" s="60">
        <v>439165.7</v>
      </c>
      <c r="K36" s="68">
        <f t="shared" si="6"/>
        <v>166.81</v>
      </c>
      <c r="L36" s="69">
        <f t="shared" si="0"/>
        <v>98.39</v>
      </c>
      <c r="M36" s="273">
        <f t="shared" si="1"/>
        <v>16412.4359</v>
      </c>
      <c r="N36" s="71">
        <f t="shared" si="2"/>
        <v>4630.3300000000008</v>
      </c>
      <c r="O36" s="72">
        <f t="shared" si="3"/>
        <v>98.39</v>
      </c>
      <c r="P36" s="274">
        <f t="shared" si="4"/>
        <v>455578.1687000001</v>
      </c>
      <c r="Z36" s="186" t="s">
        <v>1017</v>
      </c>
      <c r="AI36" s="191"/>
    </row>
    <row r="37" spans="2:51" s="121" customFormat="1" ht="12" x14ac:dyDescent="0.2">
      <c r="B37" s="120"/>
      <c r="C37" s="56" t="s">
        <v>162</v>
      </c>
      <c r="D37" s="56" t="s">
        <v>96</v>
      </c>
      <c r="E37" s="57" t="s">
        <v>190</v>
      </c>
      <c r="F37" s="58" t="s">
        <v>191</v>
      </c>
      <c r="G37" s="59" t="s">
        <v>150</v>
      </c>
      <c r="H37" s="60">
        <v>836.69</v>
      </c>
      <c r="I37" s="61">
        <v>247.39</v>
      </c>
      <c r="J37" s="60">
        <v>206988.7</v>
      </c>
      <c r="K37" s="68">
        <f t="shared" si="6"/>
        <v>31.27</v>
      </c>
      <c r="L37" s="69">
        <f t="shared" si="0"/>
        <v>247.39</v>
      </c>
      <c r="M37" s="273">
        <f t="shared" si="1"/>
        <v>7735.8852999999999</v>
      </c>
      <c r="N37" s="71">
        <f t="shared" si="2"/>
        <v>867.96</v>
      </c>
      <c r="O37" s="72">
        <f t="shared" si="3"/>
        <v>247.39</v>
      </c>
      <c r="P37" s="274">
        <f t="shared" si="4"/>
        <v>214724.6244</v>
      </c>
      <c r="W37" s="186" t="s">
        <v>986</v>
      </c>
      <c r="AI37" s="191"/>
    </row>
    <row r="38" spans="2:51" s="121" customFormat="1" ht="12" x14ac:dyDescent="0.2">
      <c r="B38" s="120"/>
      <c r="C38" s="56" t="s">
        <v>165</v>
      </c>
      <c r="D38" s="56" t="s">
        <v>96</v>
      </c>
      <c r="E38" s="57" t="s">
        <v>193</v>
      </c>
      <c r="F38" s="58" t="s">
        <v>194</v>
      </c>
      <c r="G38" s="59" t="s">
        <v>150</v>
      </c>
      <c r="H38" s="60">
        <v>836.69</v>
      </c>
      <c r="I38" s="61">
        <v>44.72</v>
      </c>
      <c r="J38" s="60">
        <v>37416.800000000003</v>
      </c>
      <c r="K38" s="68">
        <f t="shared" si="6"/>
        <v>31.27</v>
      </c>
      <c r="L38" s="69">
        <f t="shared" si="0"/>
        <v>44.72</v>
      </c>
      <c r="M38" s="273">
        <f t="shared" si="1"/>
        <v>1398.3943999999999</v>
      </c>
      <c r="N38" s="71">
        <f t="shared" si="2"/>
        <v>867.96</v>
      </c>
      <c r="O38" s="72">
        <f t="shared" si="3"/>
        <v>44.72</v>
      </c>
      <c r="P38" s="274">
        <f t="shared" si="4"/>
        <v>38815.171199999997</v>
      </c>
      <c r="W38" s="186" t="s">
        <v>986</v>
      </c>
      <c r="AI38" s="191"/>
    </row>
    <row r="39" spans="2:51" s="121" customFormat="1" ht="12" x14ac:dyDescent="0.2">
      <c r="B39" s="120"/>
      <c r="C39" s="56" t="s">
        <v>168</v>
      </c>
      <c r="D39" s="56" t="s">
        <v>96</v>
      </c>
      <c r="E39" s="57" t="s">
        <v>196</v>
      </c>
      <c r="F39" s="58" t="s">
        <v>197</v>
      </c>
      <c r="G39" s="59" t="s">
        <v>150</v>
      </c>
      <c r="H39" s="60">
        <v>836.69</v>
      </c>
      <c r="I39" s="61">
        <v>11.84</v>
      </c>
      <c r="J39" s="60">
        <v>9906.4</v>
      </c>
      <c r="K39" s="68">
        <f t="shared" si="6"/>
        <v>31.27</v>
      </c>
      <c r="L39" s="69">
        <f t="shared" si="0"/>
        <v>11.84</v>
      </c>
      <c r="M39" s="273">
        <f t="shared" si="1"/>
        <v>370.23680000000002</v>
      </c>
      <c r="N39" s="71">
        <f t="shared" si="2"/>
        <v>867.96</v>
      </c>
      <c r="O39" s="72">
        <f t="shared" si="3"/>
        <v>11.84</v>
      </c>
      <c r="P39" s="274">
        <f t="shared" si="4"/>
        <v>10276.6464</v>
      </c>
      <c r="W39" s="186" t="s">
        <v>986</v>
      </c>
      <c r="AI39" s="191"/>
    </row>
    <row r="40" spans="2:51" s="121" customFormat="1" ht="12" x14ac:dyDescent="0.2">
      <c r="B40" s="120"/>
      <c r="C40" s="56" t="s">
        <v>171</v>
      </c>
      <c r="D40" s="56" t="s">
        <v>96</v>
      </c>
      <c r="E40" s="57" t="s">
        <v>199</v>
      </c>
      <c r="F40" s="58" t="s">
        <v>200</v>
      </c>
      <c r="G40" s="59" t="s">
        <v>201</v>
      </c>
      <c r="H40" s="60">
        <v>1673.38</v>
      </c>
      <c r="I40" s="61">
        <v>116</v>
      </c>
      <c r="J40" s="60">
        <v>194112.1</v>
      </c>
      <c r="K40" s="68">
        <f t="shared" si="6"/>
        <v>62.54</v>
      </c>
      <c r="L40" s="69">
        <f t="shared" si="0"/>
        <v>116</v>
      </c>
      <c r="M40" s="273">
        <f t="shared" si="1"/>
        <v>7254.64</v>
      </c>
      <c r="N40" s="71">
        <f t="shared" si="2"/>
        <v>1735.92</v>
      </c>
      <c r="O40" s="72">
        <f t="shared" si="3"/>
        <v>116</v>
      </c>
      <c r="P40" s="274">
        <f t="shared" si="4"/>
        <v>201366.72</v>
      </c>
      <c r="AI40" s="191"/>
    </row>
    <row r="41" spans="2:51" s="121" customFormat="1" ht="12" x14ac:dyDescent="0.2">
      <c r="B41" s="120"/>
      <c r="C41" s="56" t="s">
        <v>174</v>
      </c>
      <c r="D41" s="56" t="s">
        <v>96</v>
      </c>
      <c r="E41" s="57" t="s">
        <v>203</v>
      </c>
      <c r="F41" s="58" t="s">
        <v>204</v>
      </c>
      <c r="G41" s="59" t="s">
        <v>150</v>
      </c>
      <c r="H41" s="60">
        <v>1813.42</v>
      </c>
      <c r="I41" s="61">
        <v>143.36000000000001</v>
      </c>
      <c r="J41" s="60">
        <v>259971.9</v>
      </c>
      <c r="K41" s="68">
        <f t="shared" si="6"/>
        <v>67.77</v>
      </c>
      <c r="L41" s="69">
        <f t="shared" si="0"/>
        <v>143.36000000000001</v>
      </c>
      <c r="M41" s="273">
        <f t="shared" si="1"/>
        <v>9715.5072</v>
      </c>
      <c r="N41" s="71">
        <f t="shared" si="2"/>
        <v>1881.19</v>
      </c>
      <c r="O41" s="72">
        <f t="shared" si="3"/>
        <v>143.36000000000001</v>
      </c>
      <c r="P41" s="274">
        <f t="shared" si="4"/>
        <v>269687.39840000001</v>
      </c>
      <c r="Z41" s="337" t="s">
        <v>1017</v>
      </c>
      <c r="AI41" s="191"/>
    </row>
    <row r="42" spans="2:51" s="121" customFormat="1" ht="12" x14ac:dyDescent="0.2">
      <c r="B42" s="120"/>
      <c r="C42" s="56" t="s">
        <v>177</v>
      </c>
      <c r="D42" s="56" t="s">
        <v>96</v>
      </c>
      <c r="E42" s="57" t="s">
        <v>206</v>
      </c>
      <c r="F42" s="58" t="s">
        <v>207</v>
      </c>
      <c r="G42" s="59" t="s">
        <v>150</v>
      </c>
      <c r="H42" s="60">
        <v>643.04</v>
      </c>
      <c r="I42" s="61">
        <v>318.27999999999997</v>
      </c>
      <c r="J42" s="60">
        <v>204666.8</v>
      </c>
      <c r="K42" s="68">
        <f t="shared" si="6"/>
        <v>24.03</v>
      </c>
      <c r="L42" s="69">
        <f t="shared" si="0"/>
        <v>318.27999999999997</v>
      </c>
      <c r="M42" s="273">
        <f t="shared" si="1"/>
        <v>7648.2683999999999</v>
      </c>
      <c r="N42" s="71">
        <f t="shared" si="2"/>
        <v>667.06999999999994</v>
      </c>
      <c r="O42" s="72">
        <f t="shared" si="3"/>
        <v>318.27999999999997</v>
      </c>
      <c r="P42" s="274">
        <f t="shared" si="4"/>
        <v>212315.03959999996</v>
      </c>
      <c r="Z42" s="337"/>
      <c r="AI42" s="191"/>
    </row>
    <row r="43" spans="2:51" s="121" customFormat="1" ht="12" x14ac:dyDescent="0.2">
      <c r="B43" s="120"/>
      <c r="C43" s="73" t="s">
        <v>180</v>
      </c>
      <c r="D43" s="73" t="s">
        <v>209</v>
      </c>
      <c r="E43" s="74" t="s">
        <v>210</v>
      </c>
      <c r="F43" s="75" t="s">
        <v>211</v>
      </c>
      <c r="G43" s="76" t="s">
        <v>201</v>
      </c>
      <c r="H43" s="77">
        <v>1286.08</v>
      </c>
      <c r="I43" s="78">
        <v>172.71</v>
      </c>
      <c r="J43" s="77">
        <v>222118.9</v>
      </c>
      <c r="K43" s="68">
        <f t="shared" si="6"/>
        <v>48.06</v>
      </c>
      <c r="L43" s="69">
        <f t="shared" si="0"/>
        <v>172.71</v>
      </c>
      <c r="M43" s="273">
        <f t="shared" si="1"/>
        <v>8300.4426000000003</v>
      </c>
      <c r="N43" s="71">
        <f t="shared" si="2"/>
        <v>1334.1399999999999</v>
      </c>
      <c r="O43" s="72">
        <f t="shared" si="3"/>
        <v>172.71</v>
      </c>
      <c r="P43" s="274">
        <f t="shared" si="4"/>
        <v>230419.31939999998</v>
      </c>
      <c r="Z43" s="337"/>
      <c r="AI43" s="191"/>
    </row>
    <row r="44" spans="2:51" s="121" customFormat="1" ht="12" x14ac:dyDescent="0.2">
      <c r="B44" s="120"/>
      <c r="C44" s="56" t="s">
        <v>183</v>
      </c>
      <c r="D44" s="56" t="s">
        <v>96</v>
      </c>
      <c r="E44" s="57" t="s">
        <v>213</v>
      </c>
      <c r="F44" s="58" t="s">
        <v>214</v>
      </c>
      <c r="G44" s="59" t="s">
        <v>108</v>
      </c>
      <c r="H44" s="60">
        <v>175.45</v>
      </c>
      <c r="I44" s="61">
        <v>53.92</v>
      </c>
      <c r="J44" s="60">
        <v>9460.2999999999993</v>
      </c>
      <c r="K44" s="68"/>
      <c r="L44" s="69">
        <f t="shared" si="0"/>
        <v>53.92</v>
      </c>
      <c r="M44" s="273">
        <f t="shared" si="1"/>
        <v>0</v>
      </c>
      <c r="N44" s="71">
        <f t="shared" si="2"/>
        <v>175.45</v>
      </c>
      <c r="O44" s="72">
        <f t="shared" si="3"/>
        <v>53.92</v>
      </c>
      <c r="P44" s="274">
        <f t="shared" si="4"/>
        <v>9460.2639999999992</v>
      </c>
      <c r="AI44" s="191"/>
    </row>
    <row r="45" spans="2:51" s="121" customFormat="1" ht="12" x14ac:dyDescent="0.2">
      <c r="B45" s="120"/>
      <c r="C45" s="56" t="s">
        <v>186</v>
      </c>
      <c r="D45" s="56" t="s">
        <v>96</v>
      </c>
      <c r="E45" s="57" t="s">
        <v>216</v>
      </c>
      <c r="F45" s="58" t="s">
        <v>217</v>
      </c>
      <c r="G45" s="59" t="s">
        <v>108</v>
      </c>
      <c r="H45" s="60">
        <v>124.85</v>
      </c>
      <c r="I45" s="61">
        <v>26.3</v>
      </c>
      <c r="J45" s="60">
        <v>3283.6</v>
      </c>
      <c r="K45" s="68"/>
      <c r="L45" s="69">
        <f t="shared" si="0"/>
        <v>26.3</v>
      </c>
      <c r="M45" s="273">
        <f t="shared" si="1"/>
        <v>0</v>
      </c>
      <c r="N45" s="71">
        <f t="shared" si="2"/>
        <v>124.85</v>
      </c>
      <c r="O45" s="72">
        <f t="shared" si="3"/>
        <v>26.3</v>
      </c>
      <c r="P45" s="274">
        <f t="shared" si="4"/>
        <v>3283.5549999999998</v>
      </c>
      <c r="AI45" s="191"/>
    </row>
    <row r="46" spans="2:51" s="170" customFormat="1" ht="12.75" x14ac:dyDescent="0.2">
      <c r="B46" s="165"/>
      <c r="C46" s="252"/>
      <c r="D46" s="253" t="s">
        <v>4</v>
      </c>
      <c r="E46" s="254" t="s">
        <v>13</v>
      </c>
      <c r="F46" s="254" t="s">
        <v>222</v>
      </c>
      <c r="G46" s="252"/>
      <c r="H46" s="252"/>
      <c r="I46" s="255"/>
      <c r="J46" s="256">
        <f>+SUBTOTAL(9,J47:J48)</f>
        <v>51219</v>
      </c>
      <c r="K46" s="261"/>
      <c r="L46" s="262"/>
      <c r="M46" s="279">
        <f>SUM(M47:M48)</f>
        <v>1914.2046</v>
      </c>
      <c r="N46" s="280"/>
      <c r="O46" s="262"/>
      <c r="P46" s="279">
        <f>SUM(P47:P48)</f>
        <v>53133.284599999999</v>
      </c>
      <c r="AI46" s="218"/>
      <c r="AT46" s="121"/>
      <c r="AY46" s="121"/>
    </row>
    <row r="47" spans="2:51" s="121" customFormat="1" ht="12" x14ac:dyDescent="0.2">
      <c r="B47" s="120"/>
      <c r="C47" s="56" t="s">
        <v>189</v>
      </c>
      <c r="D47" s="56" t="s">
        <v>96</v>
      </c>
      <c r="E47" s="57" t="s">
        <v>224</v>
      </c>
      <c r="F47" s="58" t="s">
        <v>225</v>
      </c>
      <c r="G47" s="59" t="s">
        <v>133</v>
      </c>
      <c r="H47" s="60">
        <v>1298</v>
      </c>
      <c r="I47" s="61">
        <v>32.880000000000003</v>
      </c>
      <c r="J47" s="60">
        <v>42678.2</v>
      </c>
      <c r="K47" s="68">
        <f>ROUND(H47*$K$71/$H$71,2)</f>
        <v>48.51</v>
      </c>
      <c r="L47" s="69">
        <f t="shared" si="0"/>
        <v>32.880000000000003</v>
      </c>
      <c r="M47" s="273">
        <f t="shared" si="1"/>
        <v>1595.0088000000001</v>
      </c>
      <c r="N47" s="71">
        <f t="shared" si="2"/>
        <v>1346.51</v>
      </c>
      <c r="O47" s="72">
        <f t="shared" si="3"/>
        <v>32.880000000000003</v>
      </c>
      <c r="P47" s="274">
        <f t="shared" si="4"/>
        <v>44273.248800000001</v>
      </c>
      <c r="AI47" s="191"/>
    </row>
    <row r="48" spans="2:51" s="121" customFormat="1" ht="12" x14ac:dyDescent="0.2">
      <c r="B48" s="120"/>
      <c r="C48" s="56" t="s">
        <v>192</v>
      </c>
      <c r="D48" s="56" t="s">
        <v>96</v>
      </c>
      <c r="E48" s="57" t="s">
        <v>227</v>
      </c>
      <c r="F48" s="58" t="s">
        <v>228</v>
      </c>
      <c r="G48" s="59" t="s">
        <v>133</v>
      </c>
      <c r="H48" s="60">
        <v>1298</v>
      </c>
      <c r="I48" s="61">
        <v>6.58</v>
      </c>
      <c r="J48" s="60">
        <v>8540.7999999999993</v>
      </c>
      <c r="K48" s="68">
        <f>ROUND(H48*$K$71/$H$71,2)</f>
        <v>48.51</v>
      </c>
      <c r="L48" s="69">
        <f t="shared" si="0"/>
        <v>6.58</v>
      </c>
      <c r="M48" s="273">
        <f t="shared" si="1"/>
        <v>319.19579999999996</v>
      </c>
      <c r="N48" s="71">
        <f t="shared" si="2"/>
        <v>1346.51</v>
      </c>
      <c r="O48" s="72">
        <f t="shared" si="3"/>
        <v>6.58</v>
      </c>
      <c r="P48" s="274">
        <f t="shared" si="4"/>
        <v>8860.0357999999997</v>
      </c>
      <c r="AI48" s="191"/>
    </row>
    <row r="49" spans="2:51" s="170" customFormat="1" ht="12.75" x14ac:dyDescent="0.2">
      <c r="B49" s="165"/>
      <c r="C49" s="252"/>
      <c r="D49" s="253" t="s">
        <v>4</v>
      </c>
      <c r="E49" s="254" t="s">
        <v>100</v>
      </c>
      <c r="F49" s="254" t="s">
        <v>229</v>
      </c>
      <c r="G49" s="252"/>
      <c r="H49" s="252"/>
      <c r="I49" s="255"/>
      <c r="J49" s="256">
        <f>+SUBTOTAL(9,J50:J51)</f>
        <v>141785.1</v>
      </c>
      <c r="K49" s="261"/>
      <c r="L49" s="262"/>
      <c r="M49" s="279">
        <f>SUM(M50:M51)</f>
        <v>5291.8134</v>
      </c>
      <c r="N49" s="280"/>
      <c r="O49" s="262"/>
      <c r="P49" s="279">
        <f>SUM(P50:P51)</f>
        <v>147076.90740000003</v>
      </c>
      <c r="AI49" s="218"/>
      <c r="AT49" s="121"/>
      <c r="AY49" s="121"/>
    </row>
    <row r="50" spans="2:51" s="121" customFormat="1" ht="22.5" x14ac:dyDescent="0.2">
      <c r="B50" s="120"/>
      <c r="C50" s="56" t="s">
        <v>195</v>
      </c>
      <c r="D50" s="56" t="s">
        <v>96</v>
      </c>
      <c r="E50" s="57" t="s">
        <v>481</v>
      </c>
      <c r="F50" s="58" t="s">
        <v>482</v>
      </c>
      <c r="G50" s="59" t="s">
        <v>150</v>
      </c>
      <c r="H50" s="60">
        <v>142.78</v>
      </c>
      <c r="I50" s="61">
        <v>644.70000000000005</v>
      </c>
      <c r="J50" s="60">
        <v>92050.3</v>
      </c>
      <c r="K50" s="68">
        <f>ROUND(H50*$K$71/$H$71,2)</f>
        <v>5.34</v>
      </c>
      <c r="L50" s="69">
        <f t="shared" si="0"/>
        <v>644.70000000000005</v>
      </c>
      <c r="M50" s="273">
        <f t="shared" si="1"/>
        <v>3442.6980000000003</v>
      </c>
      <c r="N50" s="71">
        <f t="shared" si="2"/>
        <v>148.12</v>
      </c>
      <c r="O50" s="72">
        <f t="shared" si="3"/>
        <v>644.70000000000005</v>
      </c>
      <c r="P50" s="274">
        <f t="shared" si="4"/>
        <v>95492.964000000007</v>
      </c>
      <c r="AH50" s="190" t="s">
        <v>1073</v>
      </c>
      <c r="AI50" s="191" t="s">
        <v>925</v>
      </c>
    </row>
    <row r="51" spans="2:51" s="121" customFormat="1" ht="22.5" x14ac:dyDescent="0.2">
      <c r="B51" s="120"/>
      <c r="C51" s="56" t="s">
        <v>198</v>
      </c>
      <c r="D51" s="56" t="s">
        <v>96</v>
      </c>
      <c r="E51" s="57" t="s">
        <v>255</v>
      </c>
      <c r="F51" s="58" t="s">
        <v>256</v>
      </c>
      <c r="G51" s="59" t="s">
        <v>150</v>
      </c>
      <c r="H51" s="60">
        <v>15.6</v>
      </c>
      <c r="I51" s="61">
        <v>3188.13</v>
      </c>
      <c r="J51" s="60">
        <v>49734.8</v>
      </c>
      <c r="K51" s="68">
        <f>ROUND(H51*$K$71/$H$71,2)</f>
        <v>0.57999999999999996</v>
      </c>
      <c r="L51" s="69">
        <f t="shared" si="0"/>
        <v>3188.13</v>
      </c>
      <c r="M51" s="273">
        <f t="shared" si="1"/>
        <v>1849.1153999999999</v>
      </c>
      <c r="N51" s="71">
        <f t="shared" si="2"/>
        <v>16.18</v>
      </c>
      <c r="O51" s="72">
        <f t="shared" si="3"/>
        <v>3188.13</v>
      </c>
      <c r="P51" s="274">
        <f t="shared" si="4"/>
        <v>51583.943400000004</v>
      </c>
      <c r="AA51" s="190" t="s">
        <v>1029</v>
      </c>
      <c r="AB51" s="121" t="s">
        <v>925</v>
      </c>
      <c r="AI51" s="191"/>
    </row>
    <row r="52" spans="2:51" s="170" customFormat="1" ht="12.75" x14ac:dyDescent="0.2">
      <c r="B52" s="165"/>
      <c r="C52" s="252"/>
      <c r="D52" s="253" t="s">
        <v>4</v>
      </c>
      <c r="E52" s="254" t="s">
        <v>105</v>
      </c>
      <c r="F52" s="254" t="s">
        <v>257</v>
      </c>
      <c r="G52" s="252"/>
      <c r="H52" s="252"/>
      <c r="I52" s="255"/>
      <c r="J52" s="256">
        <f>+SUBTOTAL(9,J53:J63)</f>
        <v>1680317.5999999999</v>
      </c>
      <c r="K52" s="261"/>
      <c r="L52" s="262"/>
      <c r="M52" s="279">
        <f>SUM(M53:M63)</f>
        <v>11975.454964067816</v>
      </c>
      <c r="N52" s="280"/>
      <c r="O52" s="262"/>
      <c r="P52" s="279">
        <f>SUM(P53:P63)</f>
        <v>1692293.0049640678</v>
      </c>
      <c r="AI52" s="218"/>
      <c r="AT52" s="121"/>
      <c r="AY52" s="121"/>
    </row>
    <row r="53" spans="2:51" s="121" customFormat="1" ht="14.25" customHeight="1" x14ac:dyDescent="0.2">
      <c r="B53" s="120"/>
      <c r="C53" s="56" t="s">
        <v>202</v>
      </c>
      <c r="D53" s="56" t="s">
        <v>96</v>
      </c>
      <c r="E53" s="57" t="s">
        <v>259</v>
      </c>
      <c r="F53" s="58" t="s">
        <v>260</v>
      </c>
      <c r="G53" s="59" t="s">
        <v>108</v>
      </c>
      <c r="H53" s="60">
        <v>182.05</v>
      </c>
      <c r="I53" s="61">
        <v>155.66999999999999</v>
      </c>
      <c r="J53" s="60">
        <v>28339.7</v>
      </c>
      <c r="K53" s="68">
        <v>7.0014915254237398</v>
      </c>
      <c r="L53" s="69">
        <f t="shared" si="0"/>
        <v>155.66999999999999</v>
      </c>
      <c r="M53" s="273">
        <f t="shared" si="1"/>
        <v>1089.9221857627135</v>
      </c>
      <c r="N53" s="71">
        <f t="shared" si="2"/>
        <v>189.05149152542376</v>
      </c>
      <c r="O53" s="72">
        <f t="shared" si="3"/>
        <v>155.66999999999999</v>
      </c>
      <c r="P53" s="274">
        <f t="shared" si="4"/>
        <v>29429.645685762713</v>
      </c>
      <c r="Q53" s="186"/>
      <c r="Y53" s="190" t="s">
        <v>1001</v>
      </c>
      <c r="Z53" s="190" t="s">
        <v>1018</v>
      </c>
      <c r="AI53" s="191"/>
    </row>
    <row r="54" spans="2:51" s="121" customFormat="1" ht="12" x14ac:dyDescent="0.2">
      <c r="B54" s="120"/>
      <c r="C54" s="56" t="s">
        <v>205</v>
      </c>
      <c r="D54" s="56" t="s">
        <v>96</v>
      </c>
      <c r="E54" s="57" t="s">
        <v>434</v>
      </c>
      <c r="F54" s="58" t="s">
        <v>435</v>
      </c>
      <c r="G54" s="59" t="s">
        <v>108</v>
      </c>
      <c r="H54" s="60">
        <v>9.9</v>
      </c>
      <c r="I54" s="61">
        <v>206.97</v>
      </c>
      <c r="J54" s="60">
        <v>2049</v>
      </c>
      <c r="K54" s="68">
        <v>0</v>
      </c>
      <c r="L54" s="69">
        <f t="shared" si="0"/>
        <v>206.97</v>
      </c>
      <c r="M54" s="273">
        <f t="shared" si="1"/>
        <v>0</v>
      </c>
      <c r="N54" s="71">
        <f t="shared" si="2"/>
        <v>9.9</v>
      </c>
      <c r="O54" s="72">
        <f t="shared" si="3"/>
        <v>206.97</v>
      </c>
      <c r="P54" s="274">
        <f t="shared" si="4"/>
        <v>2049.0030000000002</v>
      </c>
      <c r="AI54" s="191"/>
    </row>
    <row r="55" spans="2:51" s="121" customFormat="1" ht="18" customHeight="1" x14ac:dyDescent="0.2">
      <c r="B55" s="120"/>
      <c r="C55" s="56" t="s">
        <v>208</v>
      </c>
      <c r="D55" s="56" t="s">
        <v>96</v>
      </c>
      <c r="E55" s="57" t="s">
        <v>262</v>
      </c>
      <c r="F55" s="58" t="s">
        <v>263</v>
      </c>
      <c r="G55" s="59" t="s">
        <v>108</v>
      </c>
      <c r="H55" s="60">
        <v>935.55</v>
      </c>
      <c r="I55" s="61">
        <v>302.54000000000002</v>
      </c>
      <c r="J55" s="60">
        <v>283041.3</v>
      </c>
      <c r="K55" s="68">
        <v>35.980474576271241</v>
      </c>
      <c r="L55" s="69">
        <f t="shared" si="0"/>
        <v>302.54000000000002</v>
      </c>
      <c r="M55" s="273">
        <f t="shared" si="1"/>
        <v>10885.532778305102</v>
      </c>
      <c r="N55" s="71">
        <f t="shared" si="2"/>
        <v>971.53047457627122</v>
      </c>
      <c r="O55" s="72">
        <f t="shared" si="3"/>
        <v>302.54000000000002</v>
      </c>
      <c r="P55" s="274">
        <f t="shared" si="4"/>
        <v>293926.82977830514</v>
      </c>
      <c r="AA55" s="186" t="s">
        <v>1028</v>
      </c>
      <c r="AB55" s="191" t="s">
        <v>1030</v>
      </c>
      <c r="AC55" s="190" t="s">
        <v>1040</v>
      </c>
      <c r="AD55" s="121" t="s">
        <v>1041</v>
      </c>
      <c r="AI55" s="191"/>
    </row>
    <row r="56" spans="2:51" s="121" customFormat="1" ht="12" x14ac:dyDescent="0.2">
      <c r="B56" s="120"/>
      <c r="C56" s="56" t="s">
        <v>212</v>
      </c>
      <c r="D56" s="56" t="s">
        <v>96</v>
      </c>
      <c r="E56" s="57" t="s">
        <v>265</v>
      </c>
      <c r="F56" s="58" t="s">
        <v>266</v>
      </c>
      <c r="G56" s="59" t="s">
        <v>108</v>
      </c>
      <c r="H56" s="60">
        <v>160.05000000000001</v>
      </c>
      <c r="I56" s="61">
        <v>86.36</v>
      </c>
      <c r="J56" s="60">
        <v>13821.9</v>
      </c>
      <c r="K56" s="68">
        <v>0</v>
      </c>
      <c r="L56" s="69">
        <f t="shared" si="0"/>
        <v>86.36</v>
      </c>
      <c r="M56" s="273">
        <f t="shared" si="1"/>
        <v>0</v>
      </c>
      <c r="N56" s="71">
        <f t="shared" si="2"/>
        <v>160.05000000000001</v>
      </c>
      <c r="O56" s="72">
        <f t="shared" si="3"/>
        <v>86.36</v>
      </c>
      <c r="P56" s="274">
        <f t="shared" si="4"/>
        <v>13821.918000000001</v>
      </c>
      <c r="AI56" s="191"/>
    </row>
    <row r="57" spans="2:51" s="121" customFormat="1" ht="12" x14ac:dyDescent="0.2">
      <c r="B57" s="120"/>
      <c r="C57" s="56" t="s">
        <v>215</v>
      </c>
      <c r="D57" s="56" t="s">
        <v>96</v>
      </c>
      <c r="E57" s="57" t="s">
        <v>436</v>
      </c>
      <c r="F57" s="58" t="s">
        <v>437</v>
      </c>
      <c r="G57" s="59" t="s">
        <v>108</v>
      </c>
      <c r="H57" s="60">
        <v>9.9</v>
      </c>
      <c r="I57" s="61">
        <v>412.07</v>
      </c>
      <c r="J57" s="60">
        <v>4079.5</v>
      </c>
      <c r="K57" s="68">
        <v>0</v>
      </c>
      <c r="L57" s="69">
        <f t="shared" si="0"/>
        <v>412.07</v>
      </c>
      <c r="M57" s="273">
        <f t="shared" si="1"/>
        <v>0</v>
      </c>
      <c r="N57" s="71">
        <f t="shared" si="2"/>
        <v>9.9</v>
      </c>
      <c r="O57" s="72">
        <f t="shared" si="3"/>
        <v>412.07</v>
      </c>
      <c r="P57" s="274">
        <f t="shared" si="4"/>
        <v>4079.4929999999999</v>
      </c>
      <c r="AI57" s="191"/>
    </row>
    <row r="58" spans="2:51" s="121" customFormat="1" ht="12" x14ac:dyDescent="0.2">
      <c r="B58" s="120"/>
      <c r="C58" s="56" t="s">
        <v>219</v>
      </c>
      <c r="D58" s="56" t="s">
        <v>96</v>
      </c>
      <c r="E58" s="57" t="s">
        <v>268</v>
      </c>
      <c r="F58" s="58" t="s">
        <v>269</v>
      </c>
      <c r="G58" s="59" t="s">
        <v>108</v>
      </c>
      <c r="H58" s="60">
        <v>785.4</v>
      </c>
      <c r="I58" s="61">
        <v>14.18</v>
      </c>
      <c r="J58" s="60">
        <v>11137</v>
      </c>
      <c r="K58" s="68">
        <v>0</v>
      </c>
      <c r="L58" s="69">
        <f t="shared" si="0"/>
        <v>14.18</v>
      </c>
      <c r="M58" s="273">
        <f t="shared" si="1"/>
        <v>0</v>
      </c>
      <c r="N58" s="71">
        <f t="shared" si="2"/>
        <v>785.4</v>
      </c>
      <c r="O58" s="72">
        <f t="shared" si="3"/>
        <v>14.18</v>
      </c>
      <c r="P58" s="274">
        <f t="shared" si="4"/>
        <v>11136.972</v>
      </c>
      <c r="AI58" s="191"/>
    </row>
    <row r="59" spans="2:51" s="121" customFormat="1" ht="12" x14ac:dyDescent="0.2">
      <c r="B59" s="120"/>
      <c r="C59" s="56" t="s">
        <v>223</v>
      </c>
      <c r="D59" s="56" t="s">
        <v>96</v>
      </c>
      <c r="E59" s="57" t="s">
        <v>271</v>
      </c>
      <c r="F59" s="58" t="s">
        <v>272</v>
      </c>
      <c r="G59" s="59" t="s">
        <v>108</v>
      </c>
      <c r="H59" s="60">
        <v>1499.4</v>
      </c>
      <c r="I59" s="61">
        <v>20.62</v>
      </c>
      <c r="J59" s="60">
        <v>30917.599999999999</v>
      </c>
      <c r="K59" s="68">
        <v>0</v>
      </c>
      <c r="L59" s="69">
        <f t="shared" si="0"/>
        <v>20.62</v>
      </c>
      <c r="M59" s="273">
        <f t="shared" si="1"/>
        <v>0</v>
      </c>
      <c r="N59" s="71">
        <f t="shared" si="2"/>
        <v>1499.4</v>
      </c>
      <c r="O59" s="72">
        <f t="shared" si="3"/>
        <v>20.62</v>
      </c>
      <c r="P59" s="274">
        <f t="shared" si="4"/>
        <v>30917.628000000004</v>
      </c>
      <c r="AI59" s="191"/>
    </row>
    <row r="60" spans="2:51" s="121" customFormat="1" ht="12" x14ac:dyDescent="0.2">
      <c r="B60" s="120"/>
      <c r="C60" s="56" t="s">
        <v>226</v>
      </c>
      <c r="D60" s="56" t="s">
        <v>96</v>
      </c>
      <c r="E60" s="57" t="s">
        <v>274</v>
      </c>
      <c r="F60" s="58" t="s">
        <v>275</v>
      </c>
      <c r="G60" s="59" t="s">
        <v>108</v>
      </c>
      <c r="H60" s="60">
        <v>1499.4</v>
      </c>
      <c r="I60" s="61">
        <v>396.71</v>
      </c>
      <c r="J60" s="60">
        <v>594827</v>
      </c>
      <c r="K60" s="68">
        <v>0</v>
      </c>
      <c r="L60" s="69">
        <f t="shared" si="0"/>
        <v>396.71</v>
      </c>
      <c r="M60" s="273">
        <f t="shared" si="1"/>
        <v>0</v>
      </c>
      <c r="N60" s="71">
        <f t="shared" si="2"/>
        <v>1499.4</v>
      </c>
      <c r="O60" s="72">
        <f t="shared" si="3"/>
        <v>396.71</v>
      </c>
      <c r="P60" s="274">
        <f t="shared" si="4"/>
        <v>594826.97400000005</v>
      </c>
      <c r="AI60" s="191"/>
    </row>
    <row r="61" spans="2:51" s="121" customFormat="1" ht="12" x14ac:dyDescent="0.2">
      <c r="B61" s="120"/>
      <c r="C61" s="56" t="s">
        <v>230</v>
      </c>
      <c r="D61" s="56" t="s">
        <v>96</v>
      </c>
      <c r="E61" s="57" t="s">
        <v>277</v>
      </c>
      <c r="F61" s="58" t="s">
        <v>278</v>
      </c>
      <c r="G61" s="59" t="s">
        <v>108</v>
      </c>
      <c r="H61" s="60">
        <v>785.4</v>
      </c>
      <c r="I61" s="61">
        <v>559.51</v>
      </c>
      <c r="J61" s="60">
        <v>439439.2</v>
      </c>
      <c r="K61" s="68">
        <v>0</v>
      </c>
      <c r="L61" s="69">
        <f t="shared" si="0"/>
        <v>559.51</v>
      </c>
      <c r="M61" s="273">
        <f t="shared" si="1"/>
        <v>0</v>
      </c>
      <c r="N61" s="71">
        <f t="shared" si="2"/>
        <v>785.4</v>
      </c>
      <c r="O61" s="72">
        <f t="shared" si="3"/>
        <v>559.51</v>
      </c>
      <c r="P61" s="274">
        <f t="shared" si="4"/>
        <v>439439.15399999998</v>
      </c>
      <c r="AI61" s="191"/>
    </row>
    <row r="62" spans="2:51" s="121" customFormat="1" ht="12" x14ac:dyDescent="0.2">
      <c r="B62" s="120"/>
      <c r="C62" s="56" t="s">
        <v>233</v>
      </c>
      <c r="D62" s="56" t="s">
        <v>96</v>
      </c>
      <c r="E62" s="57" t="s">
        <v>283</v>
      </c>
      <c r="F62" s="58" t="s">
        <v>284</v>
      </c>
      <c r="G62" s="59" t="s">
        <v>108</v>
      </c>
      <c r="H62" s="60">
        <v>182.05</v>
      </c>
      <c r="I62" s="61">
        <v>745.05</v>
      </c>
      <c r="J62" s="60">
        <v>135636.4</v>
      </c>
      <c r="K62" s="68">
        <v>0</v>
      </c>
      <c r="L62" s="69">
        <f t="shared" si="0"/>
        <v>745.05</v>
      </c>
      <c r="M62" s="273">
        <f t="shared" si="1"/>
        <v>0</v>
      </c>
      <c r="N62" s="71">
        <f t="shared" si="2"/>
        <v>182.05</v>
      </c>
      <c r="O62" s="72">
        <f t="shared" si="3"/>
        <v>745.05</v>
      </c>
      <c r="P62" s="274">
        <f t="shared" si="4"/>
        <v>135636.35250000001</v>
      </c>
      <c r="AI62" s="191"/>
    </row>
    <row r="63" spans="2:51" s="121" customFormat="1" ht="12" x14ac:dyDescent="0.2">
      <c r="B63" s="120"/>
      <c r="C63" s="73" t="s">
        <v>236</v>
      </c>
      <c r="D63" s="73" t="s">
        <v>209</v>
      </c>
      <c r="E63" s="74" t="s">
        <v>286</v>
      </c>
      <c r="F63" s="75" t="s">
        <v>287</v>
      </c>
      <c r="G63" s="76" t="s">
        <v>201</v>
      </c>
      <c r="H63" s="77">
        <v>36.409999999999997</v>
      </c>
      <c r="I63" s="78">
        <v>3763.5</v>
      </c>
      <c r="J63" s="77">
        <v>137029</v>
      </c>
      <c r="K63" s="68">
        <v>0</v>
      </c>
      <c r="L63" s="69">
        <f t="shared" si="0"/>
        <v>3763.5</v>
      </c>
      <c r="M63" s="273">
        <f t="shared" si="1"/>
        <v>0</v>
      </c>
      <c r="N63" s="71">
        <f t="shared" si="2"/>
        <v>36.409999999999997</v>
      </c>
      <c r="O63" s="72">
        <f t="shared" si="3"/>
        <v>3763.5</v>
      </c>
      <c r="P63" s="274">
        <f t="shared" si="4"/>
        <v>137029.03499999997</v>
      </c>
      <c r="AI63" s="191"/>
    </row>
    <row r="64" spans="2:51" s="170" customFormat="1" ht="12.75" x14ac:dyDescent="0.2">
      <c r="B64" s="165"/>
      <c r="C64" s="252"/>
      <c r="D64" s="253" t="s">
        <v>4</v>
      </c>
      <c r="E64" s="254" t="s">
        <v>115</v>
      </c>
      <c r="F64" s="254" t="s">
        <v>288</v>
      </c>
      <c r="G64" s="252"/>
      <c r="H64" s="252"/>
      <c r="I64" s="255"/>
      <c r="J64" s="256">
        <f>+SUBTOTAL(9,J65:J71)</f>
        <v>1267198</v>
      </c>
      <c r="K64" s="261"/>
      <c r="L64" s="262"/>
      <c r="M64" s="279">
        <f>SUM(M65:M71)</f>
        <v>54260.263299999991</v>
      </c>
      <c r="N64" s="280"/>
      <c r="O64" s="262"/>
      <c r="P64" s="279">
        <f>SUM(P65:P71)</f>
        <v>1321458.3434999997</v>
      </c>
      <c r="AI64" s="218"/>
      <c r="AT64" s="121"/>
      <c r="AY64" s="121"/>
    </row>
    <row r="65" spans="2:51" s="121" customFormat="1" ht="12" x14ac:dyDescent="0.2">
      <c r="B65" s="120"/>
      <c r="C65" s="56" t="s">
        <v>239</v>
      </c>
      <c r="D65" s="56" t="s">
        <v>96</v>
      </c>
      <c r="E65" s="57" t="s">
        <v>509</v>
      </c>
      <c r="F65" s="58" t="s">
        <v>510</v>
      </c>
      <c r="G65" s="59" t="s">
        <v>133</v>
      </c>
      <c r="H65" s="60">
        <v>1298</v>
      </c>
      <c r="I65" s="61">
        <v>368.26</v>
      </c>
      <c r="J65" s="60">
        <v>478001.5</v>
      </c>
      <c r="K65" s="68">
        <f>ROUND(H65*$K$71/$H$71,2)</f>
        <v>48.51</v>
      </c>
      <c r="L65" s="69">
        <f t="shared" si="0"/>
        <v>368.26</v>
      </c>
      <c r="M65" s="273">
        <f t="shared" si="1"/>
        <v>17864.292599999997</v>
      </c>
      <c r="N65" s="71">
        <f t="shared" si="2"/>
        <v>1346.51</v>
      </c>
      <c r="O65" s="72">
        <f t="shared" si="3"/>
        <v>368.26</v>
      </c>
      <c r="P65" s="274">
        <f t="shared" si="4"/>
        <v>495865.77259999997</v>
      </c>
      <c r="AI65" s="191"/>
    </row>
    <row r="66" spans="2:51" s="121" customFormat="1" ht="12" x14ac:dyDescent="0.2">
      <c r="B66" s="120"/>
      <c r="C66" s="73" t="s">
        <v>242</v>
      </c>
      <c r="D66" s="73" t="s">
        <v>209</v>
      </c>
      <c r="E66" s="74" t="s">
        <v>511</v>
      </c>
      <c r="F66" s="75" t="s">
        <v>512</v>
      </c>
      <c r="G66" s="76" t="s">
        <v>133</v>
      </c>
      <c r="H66" s="77">
        <v>1298</v>
      </c>
      <c r="I66" s="78">
        <v>460.33</v>
      </c>
      <c r="J66" s="77">
        <v>597508.30000000005</v>
      </c>
      <c r="K66" s="68">
        <f>ROUND(H66*$K$71/$H$71,2)</f>
        <v>48.51</v>
      </c>
      <c r="L66" s="69">
        <f t="shared" si="0"/>
        <v>460.33</v>
      </c>
      <c r="M66" s="273">
        <f t="shared" si="1"/>
        <v>22330.6083</v>
      </c>
      <c r="N66" s="71">
        <f t="shared" si="2"/>
        <v>1346.51</v>
      </c>
      <c r="O66" s="72">
        <f t="shared" si="3"/>
        <v>460.33</v>
      </c>
      <c r="P66" s="274">
        <f t="shared" si="4"/>
        <v>619838.94829999993</v>
      </c>
      <c r="AI66" s="191"/>
    </row>
    <row r="67" spans="2:51" s="121" customFormat="1" ht="12" x14ac:dyDescent="0.2">
      <c r="B67" s="120"/>
      <c r="C67" s="56" t="s">
        <v>245</v>
      </c>
      <c r="D67" s="56" t="s">
        <v>96</v>
      </c>
      <c r="E67" s="57" t="s">
        <v>513</v>
      </c>
      <c r="F67" s="58" t="s">
        <v>514</v>
      </c>
      <c r="G67" s="59" t="s">
        <v>99</v>
      </c>
      <c r="H67" s="60">
        <v>310</v>
      </c>
      <c r="I67" s="61">
        <v>159.13999999999999</v>
      </c>
      <c r="J67" s="60">
        <v>49333.4</v>
      </c>
      <c r="K67" s="68">
        <v>37</v>
      </c>
      <c r="L67" s="69">
        <f t="shared" si="0"/>
        <v>159.13999999999999</v>
      </c>
      <c r="M67" s="273">
        <f t="shared" si="1"/>
        <v>5888.1799999999994</v>
      </c>
      <c r="N67" s="71">
        <f t="shared" si="2"/>
        <v>347</v>
      </c>
      <c r="O67" s="72">
        <f t="shared" si="3"/>
        <v>159.13999999999999</v>
      </c>
      <c r="P67" s="274">
        <f t="shared" si="4"/>
        <v>55221.579999999994</v>
      </c>
      <c r="AI67" s="191"/>
    </row>
    <row r="68" spans="2:51" s="121" customFormat="1" ht="25.5" customHeight="1" x14ac:dyDescent="0.2">
      <c r="B68" s="120"/>
      <c r="C68" s="73" t="s">
        <v>248</v>
      </c>
      <c r="D68" s="73" t="s">
        <v>209</v>
      </c>
      <c r="E68" s="74" t="s">
        <v>515</v>
      </c>
      <c r="F68" s="75" t="s">
        <v>516</v>
      </c>
      <c r="G68" s="76" t="s">
        <v>99</v>
      </c>
      <c r="H68" s="77">
        <v>49.74</v>
      </c>
      <c r="I68" s="78">
        <v>437.97</v>
      </c>
      <c r="J68" s="77">
        <v>21784.6</v>
      </c>
      <c r="K68" s="68">
        <v>0</v>
      </c>
      <c r="L68" s="69">
        <f t="shared" si="0"/>
        <v>437.97</v>
      </c>
      <c r="M68" s="273">
        <f t="shared" si="1"/>
        <v>0</v>
      </c>
      <c r="N68" s="71">
        <f t="shared" si="2"/>
        <v>49.74</v>
      </c>
      <c r="O68" s="72">
        <f t="shared" si="3"/>
        <v>437.97</v>
      </c>
      <c r="P68" s="274">
        <f t="shared" si="4"/>
        <v>21784.627800000002</v>
      </c>
      <c r="AA68" s="190" t="s">
        <v>1027</v>
      </c>
      <c r="AB68" s="191" t="s">
        <v>1031</v>
      </c>
      <c r="AC68" s="190" t="s">
        <v>1039</v>
      </c>
      <c r="AH68" s="190" t="s">
        <v>1072</v>
      </c>
      <c r="AI68" s="191" t="s">
        <v>1087</v>
      </c>
      <c r="AJ68" s="190" t="s">
        <v>1099</v>
      </c>
      <c r="AK68" s="191" t="s">
        <v>1109</v>
      </c>
      <c r="AL68" s="190" t="s">
        <v>1123</v>
      </c>
      <c r="AM68" s="121" t="s">
        <v>925</v>
      </c>
    </row>
    <row r="69" spans="2:51" s="121" customFormat="1" ht="12" x14ac:dyDescent="0.2">
      <c r="B69" s="120"/>
      <c r="C69" s="73" t="s">
        <v>251</v>
      </c>
      <c r="D69" s="73" t="s">
        <v>209</v>
      </c>
      <c r="E69" s="74" t="s">
        <v>517</v>
      </c>
      <c r="F69" s="75" t="s">
        <v>518</v>
      </c>
      <c r="G69" s="76" t="s">
        <v>99</v>
      </c>
      <c r="H69" s="77">
        <v>264.92</v>
      </c>
      <c r="I69" s="78">
        <v>135.47</v>
      </c>
      <c r="J69" s="77">
        <v>35888.699999999997</v>
      </c>
      <c r="K69" s="68">
        <v>37</v>
      </c>
      <c r="L69" s="69">
        <f t="shared" si="0"/>
        <v>135.47</v>
      </c>
      <c r="M69" s="273">
        <f t="shared" si="1"/>
        <v>5012.3900000000003</v>
      </c>
      <c r="N69" s="71">
        <f t="shared" si="2"/>
        <v>301.92</v>
      </c>
      <c r="O69" s="72">
        <f t="shared" si="3"/>
        <v>135.47</v>
      </c>
      <c r="P69" s="274">
        <f t="shared" si="4"/>
        <v>40901.102400000003</v>
      </c>
      <c r="AI69" s="191"/>
    </row>
    <row r="70" spans="2:51" s="121" customFormat="1" ht="33.75" x14ac:dyDescent="0.2">
      <c r="B70" s="120"/>
      <c r="C70" s="56" t="s">
        <v>254</v>
      </c>
      <c r="D70" s="56" t="s">
        <v>96</v>
      </c>
      <c r="E70" s="57" t="s">
        <v>347</v>
      </c>
      <c r="F70" s="58" t="s">
        <v>348</v>
      </c>
      <c r="G70" s="59" t="s">
        <v>133</v>
      </c>
      <c r="H70" s="60">
        <v>1298</v>
      </c>
      <c r="I70" s="61">
        <v>56.03</v>
      </c>
      <c r="J70" s="60">
        <v>72726.899999999994</v>
      </c>
      <c r="K70" s="68">
        <f>+K71</f>
        <v>48.509999999999991</v>
      </c>
      <c r="L70" s="69">
        <f t="shared" si="0"/>
        <v>56.03</v>
      </c>
      <c r="M70" s="273">
        <f t="shared" si="1"/>
        <v>2718.0152999999996</v>
      </c>
      <c r="N70" s="71">
        <f t="shared" si="2"/>
        <v>1346.51</v>
      </c>
      <c r="O70" s="72">
        <f t="shared" si="3"/>
        <v>56.03</v>
      </c>
      <c r="P70" s="274">
        <f t="shared" si="4"/>
        <v>75444.955300000001</v>
      </c>
      <c r="AI70" s="191"/>
    </row>
    <row r="71" spans="2:51" s="121" customFormat="1" ht="12" x14ac:dyDescent="0.2">
      <c r="B71" s="120"/>
      <c r="C71" s="56" t="s">
        <v>258</v>
      </c>
      <c r="D71" s="56" t="s">
        <v>96</v>
      </c>
      <c r="E71" s="57" t="s">
        <v>383</v>
      </c>
      <c r="F71" s="58" t="s">
        <v>384</v>
      </c>
      <c r="G71" s="59" t="s">
        <v>133</v>
      </c>
      <c r="H71" s="60">
        <v>1298</v>
      </c>
      <c r="I71" s="61">
        <v>9.2100000000000009</v>
      </c>
      <c r="J71" s="60">
        <v>11954.6</v>
      </c>
      <c r="K71" s="68">
        <v>48.509999999999991</v>
      </c>
      <c r="L71" s="69">
        <f t="shared" si="0"/>
        <v>9.2100000000000009</v>
      </c>
      <c r="M71" s="273">
        <f t="shared" si="1"/>
        <v>446.77709999999996</v>
      </c>
      <c r="N71" s="71">
        <f t="shared" si="2"/>
        <v>1346.51</v>
      </c>
      <c r="O71" s="72">
        <f t="shared" si="3"/>
        <v>9.2100000000000009</v>
      </c>
      <c r="P71" s="274">
        <f t="shared" si="4"/>
        <v>12401.357100000001</v>
      </c>
      <c r="AI71" s="191"/>
    </row>
    <row r="72" spans="2:51" s="170" customFormat="1" ht="12.75" x14ac:dyDescent="0.2">
      <c r="B72" s="165"/>
      <c r="C72" s="252"/>
      <c r="D72" s="253" t="s">
        <v>4</v>
      </c>
      <c r="E72" s="254" t="s">
        <v>118</v>
      </c>
      <c r="F72" s="254" t="s">
        <v>385</v>
      </c>
      <c r="G72" s="252"/>
      <c r="H72" s="252"/>
      <c r="I72" s="255"/>
      <c r="J72" s="256">
        <f>+SUBTOTAL(9,J73:J74)</f>
        <v>228465.7</v>
      </c>
      <c r="K72" s="261"/>
      <c r="L72" s="262"/>
      <c r="M72" s="279">
        <f>SUM(M73:M74)</f>
        <v>0</v>
      </c>
      <c r="N72" s="280"/>
      <c r="O72" s="262"/>
      <c r="P72" s="279">
        <f>SUM(P73:P74)</f>
        <v>228465.72000000003</v>
      </c>
      <c r="AI72" s="218"/>
      <c r="AT72" s="121"/>
      <c r="AY72" s="121"/>
    </row>
    <row r="73" spans="2:51" s="121" customFormat="1" ht="12" x14ac:dyDescent="0.2">
      <c r="B73" s="120"/>
      <c r="C73" s="56" t="s">
        <v>261</v>
      </c>
      <c r="D73" s="56" t="s">
        <v>96</v>
      </c>
      <c r="E73" s="57" t="s">
        <v>387</v>
      </c>
      <c r="F73" s="58" t="s">
        <v>388</v>
      </c>
      <c r="G73" s="59" t="s">
        <v>133</v>
      </c>
      <c r="H73" s="60">
        <v>1428</v>
      </c>
      <c r="I73" s="61">
        <v>87.65</v>
      </c>
      <c r="J73" s="60">
        <v>125164.2</v>
      </c>
      <c r="K73" s="68">
        <v>0</v>
      </c>
      <c r="L73" s="69">
        <f t="shared" si="0"/>
        <v>87.65</v>
      </c>
      <c r="M73" s="273">
        <f t="shared" si="1"/>
        <v>0</v>
      </c>
      <c r="N73" s="71">
        <f t="shared" si="2"/>
        <v>1428</v>
      </c>
      <c r="O73" s="72">
        <f t="shared" si="3"/>
        <v>87.65</v>
      </c>
      <c r="P73" s="274">
        <f t="shared" si="4"/>
        <v>125164.20000000001</v>
      </c>
      <c r="AI73" s="191"/>
    </row>
    <row r="74" spans="2:51" s="121" customFormat="1" ht="12" x14ac:dyDescent="0.2">
      <c r="B74" s="120"/>
      <c r="C74" s="56" t="s">
        <v>264</v>
      </c>
      <c r="D74" s="56" t="s">
        <v>96</v>
      </c>
      <c r="E74" s="57" t="s">
        <v>390</v>
      </c>
      <c r="F74" s="58" t="s">
        <v>391</v>
      </c>
      <c r="G74" s="59" t="s">
        <v>133</v>
      </c>
      <c r="H74" s="60">
        <v>1428</v>
      </c>
      <c r="I74" s="61">
        <v>72.34</v>
      </c>
      <c r="J74" s="60">
        <v>103301.5</v>
      </c>
      <c r="K74" s="68">
        <v>0</v>
      </c>
      <c r="L74" s="69">
        <f t="shared" si="0"/>
        <v>72.34</v>
      </c>
      <c r="M74" s="273">
        <f t="shared" si="1"/>
        <v>0</v>
      </c>
      <c r="N74" s="71">
        <f t="shared" si="2"/>
        <v>1428</v>
      </c>
      <c r="O74" s="72">
        <f t="shared" si="3"/>
        <v>72.34</v>
      </c>
      <c r="P74" s="274">
        <f t="shared" si="4"/>
        <v>103301.52</v>
      </c>
      <c r="AI74" s="191"/>
    </row>
    <row r="75" spans="2:51" s="170" customFormat="1" ht="12.75" x14ac:dyDescent="0.2">
      <c r="B75" s="165"/>
      <c r="C75" s="252"/>
      <c r="D75" s="253" t="s">
        <v>4</v>
      </c>
      <c r="E75" s="254" t="s">
        <v>398</v>
      </c>
      <c r="F75" s="254" t="s">
        <v>399</v>
      </c>
      <c r="G75" s="252"/>
      <c r="H75" s="252"/>
      <c r="I75" s="255"/>
      <c r="J75" s="256">
        <f>+SUBTOTAL(9,J76:J79)</f>
        <v>363304</v>
      </c>
      <c r="K75" s="261"/>
      <c r="L75" s="262"/>
      <c r="M75" s="279">
        <f>SUM(M76:M79)</f>
        <v>9792.5391999999993</v>
      </c>
      <c r="N75" s="280"/>
      <c r="O75" s="262"/>
      <c r="P75" s="279">
        <f>SUM(P76:P79)</f>
        <v>373096.51050000003</v>
      </c>
      <c r="AI75" s="218"/>
      <c r="AT75" s="121"/>
      <c r="AY75" s="121"/>
    </row>
    <row r="76" spans="2:51" s="121" customFormat="1" ht="12" x14ac:dyDescent="0.2">
      <c r="B76" s="120"/>
      <c r="C76" s="56" t="s">
        <v>267</v>
      </c>
      <c r="D76" s="56" t="s">
        <v>96</v>
      </c>
      <c r="E76" s="57" t="s">
        <v>401</v>
      </c>
      <c r="F76" s="58" t="s">
        <v>402</v>
      </c>
      <c r="G76" s="59" t="s">
        <v>201</v>
      </c>
      <c r="H76" s="60">
        <v>1048.51</v>
      </c>
      <c r="I76" s="61">
        <v>153.18</v>
      </c>
      <c r="J76" s="60">
        <v>160610.79999999999</v>
      </c>
      <c r="K76" s="68">
        <f>ROUND(H76*$K$71/$H$71,2)</f>
        <v>39.19</v>
      </c>
      <c r="L76" s="69">
        <f t="shared" si="0"/>
        <v>153.18</v>
      </c>
      <c r="M76" s="273">
        <f t="shared" si="1"/>
        <v>6003.1242000000002</v>
      </c>
      <c r="N76" s="71">
        <f t="shared" si="2"/>
        <v>1087.7</v>
      </c>
      <c r="O76" s="72">
        <f t="shared" si="3"/>
        <v>153.18</v>
      </c>
      <c r="P76" s="274">
        <f t="shared" si="4"/>
        <v>166613.88600000003</v>
      </c>
      <c r="AI76" s="191"/>
    </row>
    <row r="77" spans="2:51" s="121" customFormat="1" ht="12" x14ac:dyDescent="0.2">
      <c r="B77" s="120"/>
      <c r="C77" s="56" t="s">
        <v>270</v>
      </c>
      <c r="D77" s="56" t="s">
        <v>96</v>
      </c>
      <c r="E77" s="57" t="s">
        <v>404</v>
      </c>
      <c r="F77" s="58" t="s">
        <v>405</v>
      </c>
      <c r="G77" s="59" t="s">
        <v>201</v>
      </c>
      <c r="H77" s="60">
        <v>6.19</v>
      </c>
      <c r="I77" s="61">
        <v>154.66999999999999</v>
      </c>
      <c r="J77" s="60">
        <v>957.4</v>
      </c>
      <c r="K77" s="68">
        <f>ROUND(H77*$K$71/$H$71,2)</f>
        <v>0.23</v>
      </c>
      <c r="L77" s="69">
        <f t="shared" si="0"/>
        <v>154.66999999999999</v>
      </c>
      <c r="M77" s="273">
        <f t="shared" si="1"/>
        <v>35.574100000000001</v>
      </c>
      <c r="N77" s="71">
        <f t="shared" si="2"/>
        <v>6.4200000000000008</v>
      </c>
      <c r="O77" s="72">
        <f t="shared" si="3"/>
        <v>154.66999999999999</v>
      </c>
      <c r="P77" s="274">
        <f t="shared" si="4"/>
        <v>992.98140000000001</v>
      </c>
      <c r="AI77" s="191"/>
    </row>
    <row r="78" spans="2:51" s="121" customFormat="1" ht="12" x14ac:dyDescent="0.2">
      <c r="B78" s="120"/>
      <c r="C78" s="56" t="s">
        <v>273</v>
      </c>
      <c r="D78" s="56" t="s">
        <v>96</v>
      </c>
      <c r="E78" s="57" t="s">
        <v>407</v>
      </c>
      <c r="F78" s="58" t="s">
        <v>408</v>
      </c>
      <c r="G78" s="59" t="s">
        <v>201</v>
      </c>
      <c r="H78" s="60">
        <v>392.98</v>
      </c>
      <c r="I78" s="61">
        <v>257.77999999999997</v>
      </c>
      <c r="J78" s="60">
        <v>101302.39999999999</v>
      </c>
      <c r="K78" s="68">
        <v>0</v>
      </c>
      <c r="L78" s="69">
        <f t="shared" si="0"/>
        <v>257.77999999999997</v>
      </c>
      <c r="M78" s="273">
        <f t="shared" si="1"/>
        <v>0</v>
      </c>
      <c r="N78" s="71">
        <f t="shared" si="2"/>
        <v>392.98</v>
      </c>
      <c r="O78" s="72">
        <f t="shared" si="3"/>
        <v>257.77999999999997</v>
      </c>
      <c r="P78" s="274">
        <f t="shared" si="4"/>
        <v>101302.3844</v>
      </c>
      <c r="AI78" s="191"/>
    </row>
    <row r="79" spans="2:51" s="121" customFormat="1" ht="12" x14ac:dyDescent="0.2">
      <c r="B79" s="120"/>
      <c r="C79" s="56" t="s">
        <v>276</v>
      </c>
      <c r="D79" s="56" t="s">
        <v>96</v>
      </c>
      <c r="E79" s="57" t="s">
        <v>410</v>
      </c>
      <c r="F79" s="58" t="s">
        <v>411</v>
      </c>
      <c r="G79" s="59" t="s">
        <v>201</v>
      </c>
      <c r="H79" s="60">
        <v>649.34</v>
      </c>
      <c r="I79" s="61">
        <v>154.66999999999999</v>
      </c>
      <c r="J79" s="60">
        <v>100433.4</v>
      </c>
      <c r="K79" s="68">
        <f>ROUND(H79*$K$71/$H$71,2)</f>
        <v>24.27</v>
      </c>
      <c r="L79" s="69">
        <f t="shared" si="0"/>
        <v>154.66999999999999</v>
      </c>
      <c r="M79" s="273">
        <f t="shared" si="1"/>
        <v>3753.8408999999997</v>
      </c>
      <c r="N79" s="71">
        <f t="shared" si="2"/>
        <v>673.61</v>
      </c>
      <c r="O79" s="72">
        <f t="shared" si="3"/>
        <v>154.66999999999999</v>
      </c>
      <c r="P79" s="274">
        <f t="shared" si="4"/>
        <v>104187.25869999999</v>
      </c>
      <c r="AI79" s="191"/>
    </row>
    <row r="80" spans="2:51" s="170" customFormat="1" ht="12.75" x14ac:dyDescent="0.2">
      <c r="B80" s="165"/>
      <c r="C80" s="252"/>
      <c r="D80" s="253" t="s">
        <v>4</v>
      </c>
      <c r="E80" s="254" t="s">
        <v>412</v>
      </c>
      <c r="F80" s="254" t="s">
        <v>413</v>
      </c>
      <c r="G80" s="252"/>
      <c r="H80" s="252"/>
      <c r="I80" s="255"/>
      <c r="J80" s="256">
        <f>+SUBTOTAL(9,J81)</f>
        <v>274228.09999999998</v>
      </c>
      <c r="K80" s="261"/>
      <c r="L80" s="262"/>
      <c r="M80" s="279">
        <f>M81</f>
        <v>10248.599399999999</v>
      </c>
      <c r="N80" s="280"/>
      <c r="O80" s="262"/>
      <c r="P80" s="279">
        <f>P81</f>
        <v>284476.72499999998</v>
      </c>
      <c r="AI80" s="218"/>
      <c r="AT80" s="121"/>
      <c r="AY80" s="121"/>
    </row>
    <row r="81" spans="2:35" s="121" customFormat="1" ht="12" x14ac:dyDescent="0.2">
      <c r="B81" s="120"/>
      <c r="C81" s="56" t="s">
        <v>279</v>
      </c>
      <c r="D81" s="56" t="s">
        <v>96</v>
      </c>
      <c r="E81" s="57" t="s">
        <v>415</v>
      </c>
      <c r="F81" s="58" t="s">
        <v>416</v>
      </c>
      <c r="G81" s="59" t="s">
        <v>201</v>
      </c>
      <c r="H81" s="60">
        <v>2396.6799999999998</v>
      </c>
      <c r="I81" s="61">
        <v>114.42</v>
      </c>
      <c r="J81" s="60">
        <v>274228.09999999998</v>
      </c>
      <c r="K81" s="68">
        <f>ROUND(H81*$K$71/$H$71,2)</f>
        <v>89.57</v>
      </c>
      <c r="L81" s="69">
        <f t="shared" ref="L81" si="7">I81</f>
        <v>114.42</v>
      </c>
      <c r="M81" s="273">
        <f t="shared" ref="M81" si="8">K81*L81</f>
        <v>10248.599399999999</v>
      </c>
      <c r="N81" s="71">
        <f t="shared" ref="N81" si="9">H81+K81</f>
        <v>2486.25</v>
      </c>
      <c r="O81" s="72">
        <f t="shared" ref="O81" si="10">I81</f>
        <v>114.42</v>
      </c>
      <c r="P81" s="274">
        <f t="shared" ref="P81" si="11">N81*O81</f>
        <v>284476.72499999998</v>
      </c>
      <c r="AI81" s="191"/>
    </row>
    <row r="82" spans="2:35" s="121" customFormat="1" x14ac:dyDescent="0.2">
      <c r="B82" s="120"/>
      <c r="C82" s="120"/>
      <c r="D82" s="120"/>
      <c r="E82" s="120"/>
      <c r="F82" s="120"/>
      <c r="G82" s="120"/>
      <c r="H82" s="120"/>
      <c r="I82" s="153"/>
      <c r="J82" s="120"/>
      <c r="AI82" s="191"/>
    </row>
    <row r="83" spans="2:35" ht="12.75" x14ac:dyDescent="0.2">
      <c r="D83" s="42"/>
      <c r="E83" s="43" t="s">
        <v>907</v>
      </c>
      <c r="F83" s="44"/>
      <c r="G83" s="44"/>
      <c r="H83" s="45"/>
      <c r="I83" s="44"/>
      <c r="J83" s="46">
        <f>J12</f>
        <v>8748429.9000000004</v>
      </c>
      <c r="K83" s="49"/>
      <c r="L83" s="46"/>
      <c r="M83" s="283">
        <f>M80+M75+M72+M64+M52+M49+M46+M14</f>
        <v>268113.81006406783</v>
      </c>
      <c r="N83" s="49"/>
      <c r="O83" s="46"/>
      <c r="P83" s="283">
        <f>P80+P75+P72+P64+P52+P49+P46+P14</f>
        <v>9016543.7444640677</v>
      </c>
    </row>
    <row r="84" spans="2:35" ht="12.75" x14ac:dyDescent="0.2">
      <c r="H84" s="50"/>
      <c r="I84" s="8"/>
      <c r="J84" s="9"/>
    </row>
    <row r="85" spans="2:35" ht="14.25" x14ac:dyDescent="0.2">
      <c r="E85" s="6" t="s">
        <v>849</v>
      </c>
      <c r="F85" s="6"/>
      <c r="G85" s="320" t="s">
        <v>1224</v>
      </c>
      <c r="H85" s="50"/>
      <c r="I85" s="8"/>
      <c r="J85" s="6"/>
      <c r="K85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"/>
  </protectedRanges>
  <autoFilter ref="C10:P81" xr:uid="{00000000-0001-0000-2000-000000000000}"/>
  <mergeCells count="8">
    <mergeCell ref="K9:M9"/>
    <mergeCell ref="N9:P9"/>
    <mergeCell ref="AN34:AN35"/>
    <mergeCell ref="Z12:Z14"/>
    <mergeCell ref="Z28:Z33"/>
    <mergeCell ref="Z41:Z43"/>
    <mergeCell ref="U34:U35"/>
    <mergeCell ref="V34:V35"/>
  </mergeCells>
  <conditionalFormatting sqref="D3:E8 H3:J8 D1:J2 Q9:HI9 Q10:AJ10 AL10:HI10 K1:HI8 D11:HI11 Q85:HS85 L84 N84:HS84 L83:HS83">
    <cfRule type="cellIs" dxfId="334" priority="107" operator="lessThan">
      <formula>0</formula>
    </cfRule>
  </conditionalFormatting>
  <conditionalFormatting sqref="G4">
    <cfRule type="cellIs" dxfId="333" priority="106" operator="lessThan">
      <formula>0</formula>
    </cfRule>
  </conditionalFormatting>
  <conditionalFormatting sqref="G3">
    <cfRule type="cellIs" dxfId="332" priority="105" operator="lessThan">
      <formula>0</formula>
    </cfRule>
  </conditionalFormatting>
  <conditionalFormatting sqref="K12:O14 K15:L81">
    <cfRule type="cellIs" dxfId="331" priority="64" operator="lessThan">
      <formula>0</formula>
    </cfRule>
  </conditionalFormatting>
  <conditionalFormatting sqref="K12:O14 K15:L81">
    <cfRule type="cellIs" dxfId="330" priority="52" operator="lessThan">
      <formula>0</formula>
    </cfRule>
  </conditionalFormatting>
  <conditionalFormatting sqref="E83:K84 D83:D85">
    <cfRule type="cellIs" dxfId="329" priority="41" operator="lessThan">
      <formula>0</formula>
    </cfRule>
  </conditionalFormatting>
  <conditionalFormatting sqref="N15:O81">
    <cfRule type="cellIs" dxfId="328" priority="22" operator="lessThan">
      <formula>0</formula>
    </cfRule>
  </conditionalFormatting>
  <conditionalFormatting sqref="N15:O81">
    <cfRule type="cellIs" dxfId="327" priority="21" operator="lessThan">
      <formula>0</formula>
    </cfRule>
  </conditionalFormatting>
  <conditionalFormatting sqref="P14">
    <cfRule type="cellIs" dxfId="326" priority="9" operator="lessThan">
      <formula>0</formula>
    </cfRule>
  </conditionalFormatting>
  <conditionalFormatting sqref="P14">
    <cfRule type="cellIs" dxfId="325" priority="8" operator="lessThan">
      <formula>0</formula>
    </cfRule>
  </conditionalFormatting>
  <conditionalFormatting sqref="E9:J10">
    <cfRule type="cellIs" dxfId="324" priority="7" operator="lessThan">
      <formula>0</formula>
    </cfRule>
  </conditionalFormatting>
  <conditionalFormatting sqref="K9:L10 N9:O9">
    <cfRule type="cellIs" dxfId="323" priority="6" operator="lessThan">
      <formula>0</formula>
    </cfRule>
  </conditionalFormatting>
  <conditionalFormatting sqref="M10:P10">
    <cfRule type="cellIs" dxfId="322" priority="5" operator="lessThan">
      <formula>0</formula>
    </cfRule>
  </conditionalFormatting>
  <conditionalFormatting sqref="G85:I85 L85:P85">
    <cfRule type="cellIs" dxfId="321" priority="4" operator="lessThan">
      <formula>0</formula>
    </cfRule>
  </conditionalFormatting>
  <conditionalFormatting sqref="G85:I85 L85:M85">
    <cfRule type="cellIs" dxfId="320" priority="3" operator="lessThan">
      <formula>0</formula>
    </cfRule>
  </conditionalFormatting>
  <conditionalFormatting sqref="G85:I85">
    <cfRule type="cellIs" dxfId="319" priority="2" operator="lessThan">
      <formula>0</formula>
    </cfRule>
  </conditionalFormatting>
  <conditionalFormatting sqref="G85:I85">
    <cfRule type="cellIs" dxfId="318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0" fitToHeight="0" orientation="landscape" r:id="rId1"/>
  <headerFooter>
    <oddFooter>&amp;CStrana &amp;P z &amp;N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pageSetUpPr fitToPage="1"/>
  </sheetPr>
  <dimension ref="B1:P55"/>
  <sheetViews>
    <sheetView showGridLines="0" view="pageBreakPreview" topLeftCell="A16" zoomScale="60" zoomScaleNormal="100" workbookViewId="0">
      <selection activeCell="F50" sqref="F50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9.33203125" style="8"/>
    <col min="12" max="12" width="20.6640625" style="8" customWidth="1"/>
    <col min="13" max="13" width="13.83203125" style="8" bestFit="1" customWidth="1"/>
    <col min="14" max="14" width="9.33203125" style="8"/>
    <col min="15" max="15" width="16.6640625" style="8" bestFit="1" customWidth="1"/>
    <col min="16" max="16" width="19.1640625" style="8" bestFit="1" customWidth="1"/>
    <col min="17" max="16384" width="9.33203125" style="8"/>
  </cols>
  <sheetData>
    <row r="1" spans="2:16" ht="15" x14ac:dyDescent="0.2">
      <c r="F1" s="11"/>
      <c r="G1" s="89"/>
      <c r="H1" s="88"/>
      <c r="I1" s="8"/>
      <c r="J1" s="9"/>
    </row>
    <row r="2" spans="2:16" s="88" customFormat="1" ht="15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16" s="88" customFormat="1" ht="15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16" s="13" customFormat="1" ht="15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16" s="13" customFormat="1" ht="15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16" s="13" customFormat="1" ht="15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16" s="13" customFormat="1" ht="15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16" s="14" customFormat="1" ht="12.75" x14ac:dyDescent="0.2">
      <c r="D8" s="146"/>
      <c r="F8" s="11"/>
      <c r="G8" s="105"/>
      <c r="H8" s="145"/>
      <c r="K8" s="149" t="s">
        <v>851</v>
      </c>
      <c r="L8" s="180" t="str">
        <f>+C12</f>
        <v>SO 03.1 - ČSe - stavební část</v>
      </c>
      <c r="M8" s="180"/>
      <c r="O8" s="151"/>
    </row>
    <row r="9" spans="2:16" s="15" customFormat="1" ht="12.75" customHeight="1" x14ac:dyDescent="0.2">
      <c r="C9" s="174"/>
      <c r="D9" s="176"/>
      <c r="E9" s="176"/>
      <c r="F9" s="176"/>
      <c r="G9" s="176"/>
      <c r="H9" s="176"/>
      <c r="I9" s="177"/>
      <c r="J9" s="178"/>
      <c r="K9" s="339" t="s">
        <v>844</v>
      </c>
      <c r="L9" s="339"/>
      <c r="M9" s="340"/>
      <c r="N9" s="341" t="s">
        <v>845</v>
      </c>
      <c r="O9" s="341"/>
      <c r="P9" s="342"/>
    </row>
    <row r="10" spans="2:16" s="15" customFormat="1" ht="36" x14ac:dyDescent="0.2">
      <c r="C10" s="16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5" t="s">
        <v>874</v>
      </c>
      <c r="L10" s="26" t="s">
        <v>847</v>
      </c>
      <c r="M10" s="26" t="s">
        <v>915</v>
      </c>
      <c r="N10" s="27" t="s">
        <v>874</v>
      </c>
      <c r="O10" s="28" t="s">
        <v>847</v>
      </c>
      <c r="P10" s="55" t="s">
        <v>915</v>
      </c>
    </row>
    <row r="11" spans="2:16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16" s="121" customFormat="1" ht="15.75" x14ac:dyDescent="0.25">
      <c r="B12" s="120"/>
      <c r="C12" s="152" t="s">
        <v>519</v>
      </c>
      <c r="D12" s="120"/>
      <c r="E12" s="120"/>
      <c r="F12" s="120"/>
      <c r="G12" s="120"/>
      <c r="H12" s="120"/>
      <c r="I12" s="153"/>
      <c r="J12" s="154">
        <f>+SUBTOTAL(9,J13:J51)</f>
        <v>253789.80000000005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16" s="170" customFormat="1" ht="15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+SUBTOTAL(9,J14:J51)</f>
        <v>253789.80000000005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16" s="170" customFormat="1" ht="12.75" x14ac:dyDescent="0.2">
      <c r="B14" s="165"/>
      <c r="C14" s="165"/>
      <c r="D14" s="166" t="s">
        <v>4</v>
      </c>
      <c r="E14" s="171" t="s">
        <v>7</v>
      </c>
      <c r="F14" s="171" t="s">
        <v>95</v>
      </c>
      <c r="G14" s="165"/>
      <c r="H14" s="165"/>
      <c r="I14" s="168"/>
      <c r="J14" s="172">
        <f>+SUBTOTAL(9,J15:J30)</f>
        <v>117724.09999999999</v>
      </c>
      <c r="K14" s="161" t="str">
        <f>IF(ISBLANK(H14),"",SUM(#REF!+#REF!+#REF!+#REF!+#REF!+#REF!+#REF!+#REF!+#REF!+#REF!+#REF!+#REF!+#REF!+#REF!+#REF!,#REF!,#REF!,#REF!+#REF!,#REF!,#REF!,#REF!,#REF!,#REF!))</f>
        <v/>
      </c>
      <c r="L14" s="162" t="str">
        <f>IF(ISBLANK(H14),"",SUM(#REF!+#REF!+#REF!+#REF!+#REF!+#REF!+#REF!+#REF!+#REF!+#REF!+#REF!+#REF!+#REF!+#REF!,#REF!,#REF!,#REF!,#REF!,#REF!,#REF!,#REF!,#REF!,#REF!))</f>
        <v/>
      </c>
      <c r="M14" s="162">
        <f>SUM(M15:M30)</f>
        <v>0</v>
      </c>
      <c r="N14" s="163" t="str">
        <f>IF(ISBLANK(H14),"",H14-K14)</f>
        <v/>
      </c>
      <c r="O14" s="164" t="str">
        <f>IF(ISBLANK(H14),"",J14-L14)</f>
        <v/>
      </c>
      <c r="P14" s="162">
        <f>SUM(P15:P30)</f>
        <v>117723.93299999998</v>
      </c>
    </row>
    <row r="15" spans="2:16" s="121" customFormat="1" ht="12" x14ac:dyDescent="0.2">
      <c r="B15" s="120"/>
      <c r="C15" s="56" t="s">
        <v>7</v>
      </c>
      <c r="D15" s="56" t="s">
        <v>96</v>
      </c>
      <c r="E15" s="57" t="s">
        <v>135</v>
      </c>
      <c r="F15" s="58" t="s">
        <v>136</v>
      </c>
      <c r="G15" s="59" t="s">
        <v>137</v>
      </c>
      <c r="H15" s="60">
        <v>50</v>
      </c>
      <c r="I15" s="61">
        <v>63.13</v>
      </c>
      <c r="J15" s="60">
        <v>3156.5</v>
      </c>
      <c r="K15" s="68">
        <v>0</v>
      </c>
      <c r="L15" s="69">
        <f>I15</f>
        <v>63.13</v>
      </c>
      <c r="M15" s="273">
        <f>K15*L15</f>
        <v>0</v>
      </c>
      <c r="N15" s="71">
        <f>H15+K15</f>
        <v>50</v>
      </c>
      <c r="O15" s="72">
        <f>I15</f>
        <v>63.13</v>
      </c>
      <c r="P15" s="274">
        <f>N15*O15</f>
        <v>3156.5</v>
      </c>
    </row>
    <row r="16" spans="2:16" s="121" customFormat="1" ht="12" x14ac:dyDescent="0.2">
      <c r="B16" s="120"/>
      <c r="C16" s="56" t="s">
        <v>8</v>
      </c>
      <c r="D16" s="56" t="s">
        <v>96</v>
      </c>
      <c r="E16" s="57" t="s">
        <v>138</v>
      </c>
      <c r="F16" s="58" t="s">
        <v>139</v>
      </c>
      <c r="G16" s="59" t="s">
        <v>140</v>
      </c>
      <c r="H16" s="60">
        <v>5</v>
      </c>
      <c r="I16" s="61">
        <v>195.97</v>
      </c>
      <c r="J16" s="60">
        <v>979.9</v>
      </c>
      <c r="K16" s="68">
        <v>0</v>
      </c>
      <c r="L16" s="69">
        <f t="shared" ref="L16:L51" si="0">I16</f>
        <v>195.97</v>
      </c>
      <c r="M16" s="273">
        <f t="shared" ref="M16:M51" si="1">K16*L16</f>
        <v>0</v>
      </c>
      <c r="N16" s="71">
        <f t="shared" ref="N16:N51" si="2">H16+K16</f>
        <v>5</v>
      </c>
      <c r="O16" s="72">
        <f t="shared" ref="O16:O51" si="3">I16</f>
        <v>195.97</v>
      </c>
      <c r="P16" s="274">
        <f t="shared" ref="P16:P51" si="4">N16*O16</f>
        <v>979.85</v>
      </c>
    </row>
    <row r="17" spans="2:16" s="121" customFormat="1" ht="12" x14ac:dyDescent="0.2">
      <c r="B17" s="120"/>
      <c r="C17" s="56" t="s">
        <v>13</v>
      </c>
      <c r="D17" s="56" t="s">
        <v>96</v>
      </c>
      <c r="E17" s="57" t="s">
        <v>520</v>
      </c>
      <c r="F17" s="58" t="s">
        <v>521</v>
      </c>
      <c r="G17" s="59" t="s">
        <v>150</v>
      </c>
      <c r="H17" s="60">
        <v>8.86</v>
      </c>
      <c r="I17" s="61">
        <v>284.08999999999997</v>
      </c>
      <c r="J17" s="60">
        <v>2517</v>
      </c>
      <c r="K17" s="68">
        <v>0</v>
      </c>
      <c r="L17" s="69">
        <f t="shared" si="0"/>
        <v>284.08999999999997</v>
      </c>
      <c r="M17" s="273">
        <f t="shared" si="1"/>
        <v>0</v>
      </c>
      <c r="N17" s="71">
        <f t="shared" si="2"/>
        <v>8.86</v>
      </c>
      <c r="O17" s="72">
        <f t="shared" si="3"/>
        <v>284.08999999999997</v>
      </c>
      <c r="P17" s="274">
        <f t="shared" si="4"/>
        <v>2517.0373999999997</v>
      </c>
    </row>
    <row r="18" spans="2:16" s="121" customFormat="1" ht="12" x14ac:dyDescent="0.2">
      <c r="B18" s="120"/>
      <c r="C18" s="56" t="s">
        <v>100</v>
      </c>
      <c r="D18" s="56" t="s">
        <v>96</v>
      </c>
      <c r="E18" s="57" t="s">
        <v>522</v>
      </c>
      <c r="F18" s="58" t="s">
        <v>523</v>
      </c>
      <c r="G18" s="59" t="s">
        <v>150</v>
      </c>
      <c r="H18" s="60">
        <v>0.89</v>
      </c>
      <c r="I18" s="61">
        <v>40.770000000000003</v>
      </c>
      <c r="J18" s="60">
        <v>36.299999999999997</v>
      </c>
      <c r="K18" s="68">
        <v>0</v>
      </c>
      <c r="L18" s="69">
        <f t="shared" si="0"/>
        <v>40.770000000000003</v>
      </c>
      <c r="M18" s="273">
        <f t="shared" si="1"/>
        <v>0</v>
      </c>
      <c r="N18" s="71">
        <f t="shared" si="2"/>
        <v>0.89</v>
      </c>
      <c r="O18" s="72">
        <f t="shared" si="3"/>
        <v>40.770000000000003</v>
      </c>
      <c r="P18" s="274">
        <f t="shared" si="4"/>
        <v>36.285300000000007</v>
      </c>
    </row>
    <row r="19" spans="2:16" s="121" customFormat="1" ht="12" x14ac:dyDescent="0.2">
      <c r="B19" s="120"/>
      <c r="C19" s="56" t="s">
        <v>105</v>
      </c>
      <c r="D19" s="56" t="s">
        <v>96</v>
      </c>
      <c r="E19" s="57" t="s">
        <v>524</v>
      </c>
      <c r="F19" s="58" t="s">
        <v>525</v>
      </c>
      <c r="G19" s="59" t="s">
        <v>150</v>
      </c>
      <c r="H19" s="60">
        <v>13.29</v>
      </c>
      <c r="I19" s="61">
        <v>357.74</v>
      </c>
      <c r="J19" s="60">
        <v>4754.3999999999996</v>
      </c>
      <c r="K19" s="68">
        <v>0</v>
      </c>
      <c r="L19" s="69">
        <f t="shared" si="0"/>
        <v>357.74</v>
      </c>
      <c r="M19" s="273">
        <f t="shared" si="1"/>
        <v>0</v>
      </c>
      <c r="N19" s="71">
        <f t="shared" si="2"/>
        <v>13.29</v>
      </c>
      <c r="O19" s="72">
        <f t="shared" si="3"/>
        <v>357.74</v>
      </c>
      <c r="P19" s="274">
        <f t="shared" si="4"/>
        <v>4754.3645999999999</v>
      </c>
    </row>
    <row r="20" spans="2:16" s="121" customFormat="1" ht="12" x14ac:dyDescent="0.2">
      <c r="B20" s="120"/>
      <c r="C20" s="56" t="s">
        <v>109</v>
      </c>
      <c r="D20" s="56" t="s">
        <v>96</v>
      </c>
      <c r="E20" s="57" t="s">
        <v>526</v>
      </c>
      <c r="F20" s="58" t="s">
        <v>527</v>
      </c>
      <c r="G20" s="59" t="s">
        <v>150</v>
      </c>
      <c r="H20" s="60">
        <v>3.99</v>
      </c>
      <c r="I20" s="61">
        <v>63.13</v>
      </c>
      <c r="J20" s="60">
        <v>251.9</v>
      </c>
      <c r="K20" s="68">
        <v>0</v>
      </c>
      <c r="L20" s="69">
        <f t="shared" si="0"/>
        <v>63.13</v>
      </c>
      <c r="M20" s="273">
        <f t="shared" si="1"/>
        <v>0</v>
      </c>
      <c r="N20" s="71">
        <f t="shared" si="2"/>
        <v>3.99</v>
      </c>
      <c r="O20" s="72">
        <f t="shared" si="3"/>
        <v>63.13</v>
      </c>
      <c r="P20" s="274">
        <f t="shared" si="4"/>
        <v>251.88870000000003</v>
      </c>
    </row>
    <row r="21" spans="2:16" s="121" customFormat="1" ht="12" x14ac:dyDescent="0.2">
      <c r="B21" s="120"/>
      <c r="C21" s="56" t="s">
        <v>112</v>
      </c>
      <c r="D21" s="56" t="s">
        <v>96</v>
      </c>
      <c r="E21" s="57" t="s">
        <v>528</v>
      </c>
      <c r="F21" s="58" t="s">
        <v>529</v>
      </c>
      <c r="G21" s="59" t="s">
        <v>150</v>
      </c>
      <c r="H21" s="60">
        <v>13.29</v>
      </c>
      <c r="I21" s="61">
        <v>1482.25</v>
      </c>
      <c r="J21" s="60">
        <v>19699.099999999999</v>
      </c>
      <c r="K21" s="68">
        <v>0</v>
      </c>
      <c r="L21" s="69">
        <f t="shared" si="0"/>
        <v>1482.25</v>
      </c>
      <c r="M21" s="273">
        <f t="shared" si="1"/>
        <v>0</v>
      </c>
      <c r="N21" s="71">
        <f t="shared" si="2"/>
        <v>13.29</v>
      </c>
      <c r="O21" s="72">
        <f t="shared" si="3"/>
        <v>1482.25</v>
      </c>
      <c r="P21" s="274">
        <f t="shared" si="4"/>
        <v>19699.102499999997</v>
      </c>
    </row>
    <row r="22" spans="2:16" s="121" customFormat="1" ht="12" x14ac:dyDescent="0.2">
      <c r="B22" s="120"/>
      <c r="C22" s="56" t="s">
        <v>115</v>
      </c>
      <c r="D22" s="56" t="s">
        <v>96</v>
      </c>
      <c r="E22" s="57" t="s">
        <v>530</v>
      </c>
      <c r="F22" s="58" t="s">
        <v>531</v>
      </c>
      <c r="G22" s="59" t="s">
        <v>108</v>
      </c>
      <c r="H22" s="60">
        <v>45.76</v>
      </c>
      <c r="I22" s="61">
        <v>861.47</v>
      </c>
      <c r="J22" s="60">
        <v>39420.9</v>
      </c>
      <c r="K22" s="68">
        <v>0</v>
      </c>
      <c r="L22" s="69">
        <f t="shared" si="0"/>
        <v>861.47</v>
      </c>
      <c r="M22" s="273">
        <f t="shared" si="1"/>
        <v>0</v>
      </c>
      <c r="N22" s="71">
        <f t="shared" si="2"/>
        <v>45.76</v>
      </c>
      <c r="O22" s="72">
        <f t="shared" si="3"/>
        <v>861.47</v>
      </c>
      <c r="P22" s="274">
        <f t="shared" si="4"/>
        <v>39420.867200000001</v>
      </c>
    </row>
    <row r="23" spans="2:16" s="121" customFormat="1" ht="12" x14ac:dyDescent="0.2">
      <c r="B23" s="120"/>
      <c r="C23" s="56" t="s">
        <v>118</v>
      </c>
      <c r="D23" s="56" t="s">
        <v>96</v>
      </c>
      <c r="E23" s="57" t="s">
        <v>532</v>
      </c>
      <c r="F23" s="58" t="s">
        <v>533</v>
      </c>
      <c r="G23" s="59" t="s">
        <v>108</v>
      </c>
      <c r="H23" s="60">
        <v>45.76</v>
      </c>
      <c r="I23" s="61">
        <v>172.29</v>
      </c>
      <c r="J23" s="60">
        <v>7884</v>
      </c>
      <c r="K23" s="68">
        <v>0</v>
      </c>
      <c r="L23" s="69">
        <f t="shared" si="0"/>
        <v>172.29</v>
      </c>
      <c r="M23" s="273">
        <f t="shared" si="1"/>
        <v>0</v>
      </c>
      <c r="N23" s="71">
        <f t="shared" si="2"/>
        <v>45.76</v>
      </c>
      <c r="O23" s="72">
        <f t="shared" si="3"/>
        <v>172.29</v>
      </c>
      <c r="P23" s="274">
        <f t="shared" si="4"/>
        <v>7883.9903999999997</v>
      </c>
    </row>
    <row r="24" spans="2:16" s="121" customFormat="1" ht="12" x14ac:dyDescent="0.2">
      <c r="B24" s="120"/>
      <c r="C24" s="56" t="s">
        <v>121</v>
      </c>
      <c r="D24" s="56" t="s">
        <v>96</v>
      </c>
      <c r="E24" s="57" t="s">
        <v>534</v>
      </c>
      <c r="F24" s="58" t="s">
        <v>535</v>
      </c>
      <c r="G24" s="59" t="s">
        <v>150</v>
      </c>
      <c r="H24" s="60">
        <v>16.25</v>
      </c>
      <c r="I24" s="61">
        <v>13.15</v>
      </c>
      <c r="J24" s="60">
        <v>213.7</v>
      </c>
      <c r="K24" s="68">
        <v>0</v>
      </c>
      <c r="L24" s="69">
        <f t="shared" si="0"/>
        <v>13.15</v>
      </c>
      <c r="M24" s="273">
        <f t="shared" si="1"/>
        <v>0</v>
      </c>
      <c r="N24" s="71">
        <f t="shared" si="2"/>
        <v>16.25</v>
      </c>
      <c r="O24" s="72">
        <f t="shared" si="3"/>
        <v>13.15</v>
      </c>
      <c r="P24" s="274">
        <f t="shared" si="4"/>
        <v>213.6875</v>
      </c>
    </row>
    <row r="25" spans="2:16" s="121" customFormat="1" ht="12" x14ac:dyDescent="0.2">
      <c r="B25" s="120"/>
      <c r="C25" s="56" t="s">
        <v>124</v>
      </c>
      <c r="D25" s="56" t="s">
        <v>96</v>
      </c>
      <c r="E25" s="57" t="s">
        <v>187</v>
      </c>
      <c r="F25" s="58" t="s">
        <v>188</v>
      </c>
      <c r="G25" s="59" t="s">
        <v>150</v>
      </c>
      <c r="H25" s="60">
        <v>29.54</v>
      </c>
      <c r="I25" s="61">
        <v>80.23</v>
      </c>
      <c r="J25" s="60">
        <v>2370</v>
      </c>
      <c r="K25" s="68">
        <v>0</v>
      </c>
      <c r="L25" s="69">
        <f t="shared" si="0"/>
        <v>80.23</v>
      </c>
      <c r="M25" s="273">
        <f t="shared" si="1"/>
        <v>0</v>
      </c>
      <c r="N25" s="71">
        <f t="shared" si="2"/>
        <v>29.54</v>
      </c>
      <c r="O25" s="72">
        <f t="shared" si="3"/>
        <v>80.23</v>
      </c>
      <c r="P25" s="274">
        <f t="shared" si="4"/>
        <v>2369.9942000000001</v>
      </c>
    </row>
    <row r="26" spans="2:16" s="121" customFormat="1" ht="12" x14ac:dyDescent="0.2">
      <c r="B26" s="120"/>
      <c r="C26" s="56" t="s">
        <v>127</v>
      </c>
      <c r="D26" s="56" t="s">
        <v>96</v>
      </c>
      <c r="E26" s="57" t="s">
        <v>190</v>
      </c>
      <c r="F26" s="58" t="s">
        <v>191</v>
      </c>
      <c r="G26" s="59" t="s">
        <v>150</v>
      </c>
      <c r="H26" s="60">
        <v>29.54</v>
      </c>
      <c r="I26" s="61">
        <v>247.39</v>
      </c>
      <c r="J26" s="60">
        <v>7307.9</v>
      </c>
      <c r="K26" s="68">
        <v>0</v>
      </c>
      <c r="L26" s="69">
        <f t="shared" si="0"/>
        <v>247.39</v>
      </c>
      <c r="M26" s="273">
        <f t="shared" si="1"/>
        <v>0</v>
      </c>
      <c r="N26" s="71">
        <f t="shared" si="2"/>
        <v>29.54</v>
      </c>
      <c r="O26" s="72">
        <f t="shared" si="3"/>
        <v>247.39</v>
      </c>
      <c r="P26" s="274">
        <f t="shared" si="4"/>
        <v>7307.900599999999</v>
      </c>
    </row>
    <row r="27" spans="2:16" s="121" customFormat="1" ht="12" x14ac:dyDescent="0.2">
      <c r="B27" s="120"/>
      <c r="C27" s="56" t="s">
        <v>130</v>
      </c>
      <c r="D27" s="56" t="s">
        <v>96</v>
      </c>
      <c r="E27" s="57" t="s">
        <v>196</v>
      </c>
      <c r="F27" s="58" t="s">
        <v>197</v>
      </c>
      <c r="G27" s="59" t="s">
        <v>150</v>
      </c>
      <c r="H27" s="60">
        <v>29.54</v>
      </c>
      <c r="I27" s="61">
        <v>11.84</v>
      </c>
      <c r="J27" s="60">
        <v>349.8</v>
      </c>
      <c r="K27" s="68">
        <v>0</v>
      </c>
      <c r="L27" s="69">
        <f t="shared" si="0"/>
        <v>11.84</v>
      </c>
      <c r="M27" s="273">
        <f t="shared" si="1"/>
        <v>0</v>
      </c>
      <c r="N27" s="71">
        <f t="shared" si="2"/>
        <v>29.54</v>
      </c>
      <c r="O27" s="72">
        <f t="shared" si="3"/>
        <v>11.84</v>
      </c>
      <c r="P27" s="274">
        <f t="shared" si="4"/>
        <v>349.75360000000001</v>
      </c>
    </row>
    <row r="28" spans="2:16" s="121" customFormat="1" ht="12" x14ac:dyDescent="0.2">
      <c r="B28" s="120"/>
      <c r="C28" s="56" t="s">
        <v>134</v>
      </c>
      <c r="D28" s="56" t="s">
        <v>96</v>
      </c>
      <c r="E28" s="57" t="s">
        <v>199</v>
      </c>
      <c r="F28" s="58" t="s">
        <v>200</v>
      </c>
      <c r="G28" s="59" t="s">
        <v>201</v>
      </c>
      <c r="H28" s="60">
        <v>59.08</v>
      </c>
      <c r="I28" s="61">
        <v>116</v>
      </c>
      <c r="J28" s="60">
        <v>6853.3</v>
      </c>
      <c r="K28" s="68">
        <v>0</v>
      </c>
      <c r="L28" s="69">
        <f t="shared" si="0"/>
        <v>116</v>
      </c>
      <c r="M28" s="273">
        <f t="shared" si="1"/>
        <v>0</v>
      </c>
      <c r="N28" s="71">
        <f t="shared" si="2"/>
        <v>59.08</v>
      </c>
      <c r="O28" s="72">
        <f t="shared" si="3"/>
        <v>116</v>
      </c>
      <c r="P28" s="274">
        <f t="shared" si="4"/>
        <v>6853.28</v>
      </c>
    </row>
    <row r="29" spans="2:16" s="121" customFormat="1" ht="12" x14ac:dyDescent="0.2">
      <c r="B29" s="120"/>
      <c r="C29" s="56" t="s">
        <v>2</v>
      </c>
      <c r="D29" s="56" t="s">
        <v>96</v>
      </c>
      <c r="E29" s="57" t="s">
        <v>203</v>
      </c>
      <c r="F29" s="58" t="s">
        <v>204</v>
      </c>
      <c r="G29" s="59" t="s">
        <v>150</v>
      </c>
      <c r="H29" s="60">
        <v>19.149999999999999</v>
      </c>
      <c r="I29" s="61">
        <v>286.72000000000003</v>
      </c>
      <c r="J29" s="60">
        <v>5490.7</v>
      </c>
      <c r="K29" s="68">
        <v>0</v>
      </c>
      <c r="L29" s="69">
        <f t="shared" si="0"/>
        <v>286.72000000000003</v>
      </c>
      <c r="M29" s="273">
        <f t="shared" si="1"/>
        <v>0</v>
      </c>
      <c r="N29" s="71">
        <f t="shared" si="2"/>
        <v>19.149999999999999</v>
      </c>
      <c r="O29" s="72">
        <f t="shared" si="3"/>
        <v>286.72000000000003</v>
      </c>
      <c r="P29" s="274">
        <f t="shared" si="4"/>
        <v>5490.6880000000001</v>
      </c>
    </row>
    <row r="30" spans="2:16" s="121" customFormat="1" ht="12" x14ac:dyDescent="0.2">
      <c r="B30" s="120"/>
      <c r="C30" s="73" t="s">
        <v>141</v>
      </c>
      <c r="D30" s="73" t="s">
        <v>209</v>
      </c>
      <c r="E30" s="74" t="s">
        <v>536</v>
      </c>
      <c r="F30" s="75" t="s">
        <v>537</v>
      </c>
      <c r="G30" s="76" t="s">
        <v>201</v>
      </c>
      <c r="H30" s="77">
        <v>38.299999999999997</v>
      </c>
      <c r="I30" s="78">
        <v>429.21</v>
      </c>
      <c r="J30" s="77">
        <v>16438.7</v>
      </c>
      <c r="K30" s="68">
        <v>0</v>
      </c>
      <c r="L30" s="69">
        <f t="shared" si="0"/>
        <v>429.21</v>
      </c>
      <c r="M30" s="273">
        <f t="shared" si="1"/>
        <v>0</v>
      </c>
      <c r="N30" s="71">
        <f t="shared" si="2"/>
        <v>38.299999999999997</v>
      </c>
      <c r="O30" s="72">
        <f t="shared" si="3"/>
        <v>429.21</v>
      </c>
      <c r="P30" s="274">
        <f t="shared" si="4"/>
        <v>16438.742999999999</v>
      </c>
    </row>
    <row r="31" spans="2:16" s="170" customFormat="1" ht="12.75" x14ac:dyDescent="0.2">
      <c r="B31" s="165"/>
      <c r="C31" s="79"/>
      <c r="D31" s="80" t="s">
        <v>4</v>
      </c>
      <c r="E31" s="81" t="s">
        <v>13</v>
      </c>
      <c r="F31" s="81" t="s">
        <v>222</v>
      </c>
      <c r="G31" s="79"/>
      <c r="H31" s="79"/>
      <c r="I31" s="82"/>
      <c r="J31" s="83">
        <f>+SUBTOTAL(9,J32:J35)</f>
        <v>101843.4</v>
      </c>
      <c r="K31" s="68"/>
      <c r="L31" s="69"/>
      <c r="M31" s="273">
        <f>SUM(M32:M35)</f>
        <v>0</v>
      </c>
      <c r="N31" s="71"/>
      <c r="O31" s="72"/>
      <c r="P31" s="273">
        <f>SUM(P32:P35)</f>
        <v>101843.4206</v>
      </c>
    </row>
    <row r="32" spans="2:16" s="121" customFormat="1" ht="12" x14ac:dyDescent="0.2">
      <c r="B32" s="120"/>
      <c r="C32" s="56" t="s">
        <v>144</v>
      </c>
      <c r="D32" s="56" t="s">
        <v>96</v>
      </c>
      <c r="E32" s="57" t="s">
        <v>538</v>
      </c>
      <c r="F32" s="58" t="s">
        <v>539</v>
      </c>
      <c r="G32" s="59" t="s">
        <v>133</v>
      </c>
      <c r="H32" s="60">
        <v>12.22</v>
      </c>
      <c r="I32" s="61">
        <v>720.81</v>
      </c>
      <c r="J32" s="60">
        <v>8808.2999999999993</v>
      </c>
      <c r="K32" s="68">
        <v>0</v>
      </c>
      <c r="L32" s="69">
        <f t="shared" si="0"/>
        <v>720.81</v>
      </c>
      <c r="M32" s="273">
        <f t="shared" si="1"/>
        <v>0</v>
      </c>
      <c r="N32" s="71">
        <f t="shared" si="2"/>
        <v>12.22</v>
      </c>
      <c r="O32" s="72">
        <f t="shared" si="3"/>
        <v>720.81</v>
      </c>
      <c r="P32" s="274">
        <f t="shared" si="4"/>
        <v>8808.2981999999993</v>
      </c>
    </row>
    <row r="33" spans="2:16" s="121" customFormat="1" ht="12" x14ac:dyDescent="0.2">
      <c r="B33" s="120"/>
      <c r="C33" s="73" t="s">
        <v>147</v>
      </c>
      <c r="D33" s="73" t="s">
        <v>209</v>
      </c>
      <c r="E33" s="74" t="s">
        <v>540</v>
      </c>
      <c r="F33" s="75" t="s">
        <v>541</v>
      </c>
      <c r="G33" s="76" t="s">
        <v>99</v>
      </c>
      <c r="H33" s="77">
        <v>61.12</v>
      </c>
      <c r="I33" s="78">
        <v>252.52</v>
      </c>
      <c r="J33" s="77">
        <v>15434</v>
      </c>
      <c r="K33" s="68">
        <v>0</v>
      </c>
      <c r="L33" s="69">
        <f t="shared" si="0"/>
        <v>252.52</v>
      </c>
      <c r="M33" s="273">
        <f t="shared" si="1"/>
        <v>0</v>
      </c>
      <c r="N33" s="71">
        <f t="shared" si="2"/>
        <v>61.12</v>
      </c>
      <c r="O33" s="72">
        <f t="shared" si="3"/>
        <v>252.52</v>
      </c>
      <c r="P33" s="274">
        <f t="shared" si="4"/>
        <v>15434.0224</v>
      </c>
    </row>
    <row r="34" spans="2:16" s="121" customFormat="1" ht="22.5" x14ac:dyDescent="0.2">
      <c r="B34" s="120"/>
      <c r="C34" s="56" t="s">
        <v>151</v>
      </c>
      <c r="D34" s="56" t="s">
        <v>96</v>
      </c>
      <c r="E34" s="57" t="s">
        <v>542</v>
      </c>
      <c r="F34" s="58" t="s">
        <v>543</v>
      </c>
      <c r="G34" s="59" t="s">
        <v>99</v>
      </c>
      <c r="H34" s="60">
        <v>1</v>
      </c>
      <c r="I34" s="61">
        <v>12757.63</v>
      </c>
      <c r="J34" s="60">
        <v>12757.6</v>
      </c>
      <c r="K34" s="68">
        <v>0</v>
      </c>
      <c r="L34" s="69">
        <f t="shared" si="0"/>
        <v>12757.63</v>
      </c>
      <c r="M34" s="273">
        <f t="shared" si="1"/>
        <v>0</v>
      </c>
      <c r="N34" s="71">
        <f t="shared" si="2"/>
        <v>1</v>
      </c>
      <c r="O34" s="72">
        <f t="shared" si="3"/>
        <v>12757.63</v>
      </c>
      <c r="P34" s="274">
        <f t="shared" si="4"/>
        <v>12757.63</v>
      </c>
    </row>
    <row r="35" spans="2:16" s="121" customFormat="1" ht="33.75" x14ac:dyDescent="0.2">
      <c r="B35" s="120"/>
      <c r="C35" s="73" t="s">
        <v>154</v>
      </c>
      <c r="D35" s="73" t="s">
        <v>209</v>
      </c>
      <c r="E35" s="74" t="s">
        <v>544</v>
      </c>
      <c r="F35" s="75" t="s">
        <v>545</v>
      </c>
      <c r="G35" s="76" t="s">
        <v>99</v>
      </c>
      <c r="H35" s="77">
        <v>1</v>
      </c>
      <c r="I35" s="78">
        <v>64843.47</v>
      </c>
      <c r="J35" s="77">
        <v>64843.5</v>
      </c>
      <c r="K35" s="68">
        <v>0</v>
      </c>
      <c r="L35" s="69">
        <f t="shared" si="0"/>
        <v>64843.47</v>
      </c>
      <c r="M35" s="273">
        <f t="shared" si="1"/>
        <v>0</v>
      </c>
      <c r="N35" s="71">
        <f t="shared" si="2"/>
        <v>1</v>
      </c>
      <c r="O35" s="72">
        <f t="shared" si="3"/>
        <v>64843.47</v>
      </c>
      <c r="P35" s="274">
        <f t="shared" si="4"/>
        <v>64843.47</v>
      </c>
    </row>
    <row r="36" spans="2:16" s="170" customFormat="1" ht="12.75" x14ac:dyDescent="0.2">
      <c r="B36" s="165"/>
      <c r="C36" s="79"/>
      <c r="D36" s="80" t="s">
        <v>4</v>
      </c>
      <c r="E36" s="81" t="s">
        <v>100</v>
      </c>
      <c r="F36" s="81" t="s">
        <v>229</v>
      </c>
      <c r="G36" s="79"/>
      <c r="H36" s="79"/>
      <c r="I36" s="82"/>
      <c r="J36" s="83">
        <f>+SUBTOTAL(9,J37:J39)</f>
        <v>9876.7999999999993</v>
      </c>
      <c r="K36" s="68"/>
      <c r="L36" s="69"/>
      <c r="M36" s="273">
        <f>SUM(M37:M39)</f>
        <v>0</v>
      </c>
      <c r="N36" s="71"/>
      <c r="O36" s="72"/>
      <c r="P36" s="273">
        <f>SUM(P37:P39)</f>
        <v>9876.7556999999997</v>
      </c>
    </row>
    <row r="37" spans="2:16" s="121" customFormat="1" ht="12" x14ac:dyDescent="0.2">
      <c r="B37" s="120"/>
      <c r="C37" s="56" t="s">
        <v>1</v>
      </c>
      <c r="D37" s="56" t="s">
        <v>96</v>
      </c>
      <c r="E37" s="57" t="s">
        <v>481</v>
      </c>
      <c r="F37" s="58" t="s">
        <v>482</v>
      </c>
      <c r="G37" s="59" t="s">
        <v>150</v>
      </c>
      <c r="H37" s="60">
        <v>0.82</v>
      </c>
      <c r="I37" s="61">
        <v>485.56</v>
      </c>
      <c r="J37" s="60">
        <v>398.2</v>
      </c>
      <c r="K37" s="68">
        <v>0</v>
      </c>
      <c r="L37" s="69">
        <f t="shared" si="0"/>
        <v>485.56</v>
      </c>
      <c r="M37" s="273">
        <f t="shared" si="1"/>
        <v>0</v>
      </c>
      <c r="N37" s="71">
        <f t="shared" si="2"/>
        <v>0.82</v>
      </c>
      <c r="O37" s="72">
        <f t="shared" si="3"/>
        <v>485.56</v>
      </c>
      <c r="P37" s="274">
        <f t="shared" si="4"/>
        <v>398.1592</v>
      </c>
    </row>
    <row r="38" spans="2:16" s="121" customFormat="1" ht="12" x14ac:dyDescent="0.2">
      <c r="B38" s="120"/>
      <c r="C38" s="56" t="s">
        <v>159</v>
      </c>
      <c r="D38" s="56" t="s">
        <v>96</v>
      </c>
      <c r="E38" s="57" t="s">
        <v>546</v>
      </c>
      <c r="F38" s="58" t="s">
        <v>547</v>
      </c>
      <c r="G38" s="59" t="s">
        <v>150</v>
      </c>
      <c r="H38" s="60">
        <v>1.25</v>
      </c>
      <c r="I38" s="61">
        <v>3723.95</v>
      </c>
      <c r="J38" s="60">
        <v>4654.8999999999996</v>
      </c>
      <c r="K38" s="68">
        <v>0</v>
      </c>
      <c r="L38" s="69">
        <f t="shared" si="0"/>
        <v>3723.95</v>
      </c>
      <c r="M38" s="273">
        <f t="shared" si="1"/>
        <v>0</v>
      </c>
      <c r="N38" s="71">
        <f t="shared" si="2"/>
        <v>1.25</v>
      </c>
      <c r="O38" s="72">
        <f t="shared" si="3"/>
        <v>3723.95</v>
      </c>
      <c r="P38" s="274">
        <f t="shared" si="4"/>
        <v>4654.9375</v>
      </c>
    </row>
    <row r="39" spans="2:16" s="121" customFormat="1" ht="12" x14ac:dyDescent="0.2">
      <c r="B39" s="120"/>
      <c r="C39" s="56" t="s">
        <v>162</v>
      </c>
      <c r="D39" s="56" t="s">
        <v>96</v>
      </c>
      <c r="E39" s="57" t="s">
        <v>548</v>
      </c>
      <c r="F39" s="58" t="s">
        <v>549</v>
      </c>
      <c r="G39" s="59" t="s">
        <v>201</v>
      </c>
      <c r="H39" s="60">
        <v>0.1</v>
      </c>
      <c r="I39" s="61">
        <v>48236.59</v>
      </c>
      <c r="J39" s="60">
        <v>4823.7</v>
      </c>
      <c r="K39" s="68">
        <v>0</v>
      </c>
      <c r="L39" s="69">
        <f t="shared" si="0"/>
        <v>48236.59</v>
      </c>
      <c r="M39" s="273">
        <f t="shared" si="1"/>
        <v>0</v>
      </c>
      <c r="N39" s="71">
        <f t="shared" si="2"/>
        <v>0.1</v>
      </c>
      <c r="O39" s="72">
        <f t="shared" si="3"/>
        <v>48236.59</v>
      </c>
      <c r="P39" s="274">
        <f t="shared" si="4"/>
        <v>4823.6589999999997</v>
      </c>
    </row>
    <row r="40" spans="2:16" s="170" customFormat="1" ht="12.75" x14ac:dyDescent="0.2">
      <c r="B40" s="165"/>
      <c r="C40" s="79"/>
      <c r="D40" s="80" t="s">
        <v>4</v>
      </c>
      <c r="E40" s="81" t="s">
        <v>105</v>
      </c>
      <c r="F40" s="81" t="s">
        <v>257</v>
      </c>
      <c r="G40" s="79"/>
      <c r="H40" s="79"/>
      <c r="I40" s="82"/>
      <c r="J40" s="83">
        <f>+SUBTOTAL(9,J41:J43)</f>
        <v>8566.7000000000007</v>
      </c>
      <c r="K40" s="68"/>
      <c r="L40" s="69"/>
      <c r="M40" s="273">
        <f>SUM(M41:M43)</f>
        <v>0</v>
      </c>
      <c r="N40" s="71"/>
      <c r="O40" s="72"/>
      <c r="P40" s="273">
        <f>SUM(P41:P43)</f>
        <v>8566.6932000000015</v>
      </c>
    </row>
    <row r="41" spans="2:16" s="121" customFormat="1" ht="12" x14ac:dyDescent="0.2">
      <c r="B41" s="120"/>
      <c r="C41" s="56" t="s">
        <v>165</v>
      </c>
      <c r="D41" s="56" t="s">
        <v>96</v>
      </c>
      <c r="E41" s="57" t="s">
        <v>550</v>
      </c>
      <c r="F41" s="58" t="s">
        <v>551</v>
      </c>
      <c r="G41" s="59" t="s">
        <v>108</v>
      </c>
      <c r="H41" s="60">
        <v>9</v>
      </c>
      <c r="I41" s="61">
        <v>376.71000000000004</v>
      </c>
      <c r="J41" s="60">
        <v>3390.4</v>
      </c>
      <c r="K41" s="68">
        <v>0</v>
      </c>
      <c r="L41" s="69">
        <f t="shared" si="0"/>
        <v>376.71000000000004</v>
      </c>
      <c r="M41" s="273">
        <f t="shared" si="1"/>
        <v>0</v>
      </c>
      <c r="N41" s="71">
        <f t="shared" si="2"/>
        <v>9</v>
      </c>
      <c r="O41" s="72">
        <f t="shared" si="3"/>
        <v>376.71000000000004</v>
      </c>
      <c r="P41" s="274">
        <f t="shared" si="4"/>
        <v>3390.3900000000003</v>
      </c>
    </row>
    <row r="42" spans="2:16" s="121" customFormat="1" ht="12" x14ac:dyDescent="0.2">
      <c r="B42" s="120"/>
      <c r="C42" s="56" t="s">
        <v>168</v>
      </c>
      <c r="D42" s="56" t="s">
        <v>96</v>
      </c>
      <c r="E42" s="57" t="s">
        <v>552</v>
      </c>
      <c r="F42" s="58" t="s">
        <v>553</v>
      </c>
      <c r="G42" s="59" t="s">
        <v>108</v>
      </c>
      <c r="H42" s="60">
        <v>9</v>
      </c>
      <c r="I42" s="61">
        <v>338.08</v>
      </c>
      <c r="J42" s="60">
        <v>3042.7</v>
      </c>
      <c r="K42" s="68">
        <v>0</v>
      </c>
      <c r="L42" s="69">
        <f t="shared" si="0"/>
        <v>338.08</v>
      </c>
      <c r="M42" s="273">
        <f t="shared" si="1"/>
        <v>0</v>
      </c>
      <c r="N42" s="71">
        <f t="shared" si="2"/>
        <v>9</v>
      </c>
      <c r="O42" s="72">
        <f t="shared" si="3"/>
        <v>338.08</v>
      </c>
      <c r="P42" s="274">
        <f t="shared" si="4"/>
        <v>3042.72</v>
      </c>
    </row>
    <row r="43" spans="2:16" s="121" customFormat="1" ht="12" x14ac:dyDescent="0.2">
      <c r="B43" s="120"/>
      <c r="C43" s="73" t="s">
        <v>171</v>
      </c>
      <c r="D43" s="73" t="s">
        <v>209</v>
      </c>
      <c r="E43" s="74" t="s">
        <v>554</v>
      </c>
      <c r="F43" s="75" t="s">
        <v>555</v>
      </c>
      <c r="G43" s="76" t="s">
        <v>108</v>
      </c>
      <c r="H43" s="77">
        <v>9.27</v>
      </c>
      <c r="I43" s="78">
        <v>230.16</v>
      </c>
      <c r="J43" s="77">
        <v>2133.6</v>
      </c>
      <c r="K43" s="68">
        <v>0</v>
      </c>
      <c r="L43" s="69">
        <f t="shared" si="0"/>
        <v>230.16</v>
      </c>
      <c r="M43" s="273">
        <f t="shared" si="1"/>
        <v>0</v>
      </c>
      <c r="N43" s="71">
        <f t="shared" si="2"/>
        <v>9.27</v>
      </c>
      <c r="O43" s="72">
        <f t="shared" si="3"/>
        <v>230.16</v>
      </c>
      <c r="P43" s="274">
        <f t="shared" si="4"/>
        <v>2133.5832</v>
      </c>
    </row>
    <row r="44" spans="2:16" s="170" customFormat="1" ht="12.75" x14ac:dyDescent="0.2">
      <c r="B44" s="165"/>
      <c r="C44" s="79"/>
      <c r="D44" s="80" t="s">
        <v>4</v>
      </c>
      <c r="E44" s="81" t="s">
        <v>115</v>
      </c>
      <c r="F44" s="81" t="s">
        <v>288</v>
      </c>
      <c r="G44" s="79"/>
      <c r="H44" s="79"/>
      <c r="I44" s="82"/>
      <c r="J44" s="83">
        <f>+SUBTOTAL(9,J45)</f>
        <v>3288.1</v>
      </c>
      <c r="K44" s="68"/>
      <c r="L44" s="69"/>
      <c r="M44" s="273">
        <f>M45</f>
        <v>0</v>
      </c>
      <c r="N44" s="71"/>
      <c r="O44" s="72"/>
      <c r="P44" s="274">
        <f>P45</f>
        <v>3288.05</v>
      </c>
    </row>
    <row r="45" spans="2:16" s="121" customFormat="1" ht="12" x14ac:dyDescent="0.2">
      <c r="B45" s="120"/>
      <c r="C45" s="56" t="s">
        <v>174</v>
      </c>
      <c r="D45" s="56" t="s">
        <v>96</v>
      </c>
      <c r="E45" s="57" t="s">
        <v>556</v>
      </c>
      <c r="F45" s="58" t="s">
        <v>557</v>
      </c>
      <c r="G45" s="59" t="s">
        <v>99</v>
      </c>
      <c r="H45" s="60">
        <v>1</v>
      </c>
      <c r="I45" s="61">
        <v>3288.05</v>
      </c>
      <c r="J45" s="60">
        <v>3288.1</v>
      </c>
      <c r="K45" s="68">
        <v>0</v>
      </c>
      <c r="L45" s="69">
        <f t="shared" si="0"/>
        <v>3288.05</v>
      </c>
      <c r="M45" s="273">
        <f t="shared" si="1"/>
        <v>0</v>
      </c>
      <c r="N45" s="71">
        <f t="shared" si="2"/>
        <v>1</v>
      </c>
      <c r="O45" s="72">
        <f t="shared" si="3"/>
        <v>3288.05</v>
      </c>
      <c r="P45" s="274">
        <f t="shared" si="4"/>
        <v>3288.05</v>
      </c>
    </row>
    <row r="46" spans="2:16" s="170" customFormat="1" ht="12.75" x14ac:dyDescent="0.2">
      <c r="B46" s="165"/>
      <c r="C46" s="79"/>
      <c r="D46" s="80" t="s">
        <v>4</v>
      </c>
      <c r="E46" s="81" t="s">
        <v>118</v>
      </c>
      <c r="F46" s="81" t="s">
        <v>558</v>
      </c>
      <c r="G46" s="79"/>
      <c r="H46" s="79"/>
      <c r="I46" s="82"/>
      <c r="J46" s="83">
        <f>+SUBTOTAL(9,J47:J49)</f>
        <v>5055.7</v>
      </c>
      <c r="K46" s="68"/>
      <c r="L46" s="69"/>
      <c r="M46" s="273">
        <f>SUM(M47:M49)</f>
        <v>0</v>
      </c>
      <c r="N46" s="71"/>
      <c r="O46" s="72"/>
      <c r="P46" s="273">
        <f>SUM(P47:P49)</f>
        <v>5055.6600000000008</v>
      </c>
    </row>
    <row r="47" spans="2:16" s="121" customFormat="1" ht="12" x14ac:dyDescent="0.2">
      <c r="B47" s="120"/>
      <c r="C47" s="56" t="s">
        <v>177</v>
      </c>
      <c r="D47" s="56" t="s">
        <v>96</v>
      </c>
      <c r="E47" s="57" t="s">
        <v>559</v>
      </c>
      <c r="F47" s="58" t="s">
        <v>560</v>
      </c>
      <c r="G47" s="59" t="s">
        <v>133</v>
      </c>
      <c r="H47" s="60">
        <v>10.8</v>
      </c>
      <c r="I47" s="61">
        <v>315.11</v>
      </c>
      <c r="J47" s="60">
        <v>3403.2</v>
      </c>
      <c r="K47" s="68">
        <v>0</v>
      </c>
      <c r="L47" s="69">
        <f t="shared" si="0"/>
        <v>315.11</v>
      </c>
      <c r="M47" s="273">
        <f t="shared" si="1"/>
        <v>0</v>
      </c>
      <c r="N47" s="71">
        <f t="shared" si="2"/>
        <v>10.8</v>
      </c>
      <c r="O47" s="72">
        <f t="shared" si="3"/>
        <v>315.11</v>
      </c>
      <c r="P47" s="274">
        <f t="shared" si="4"/>
        <v>3403.1880000000006</v>
      </c>
    </row>
    <row r="48" spans="2:16" s="121" customFormat="1" ht="12" x14ac:dyDescent="0.2">
      <c r="B48" s="120"/>
      <c r="C48" s="73" t="s">
        <v>180</v>
      </c>
      <c r="D48" s="73" t="s">
        <v>209</v>
      </c>
      <c r="E48" s="74" t="s">
        <v>561</v>
      </c>
      <c r="F48" s="75" t="s">
        <v>562</v>
      </c>
      <c r="G48" s="76" t="s">
        <v>133</v>
      </c>
      <c r="H48" s="77">
        <v>10.8</v>
      </c>
      <c r="I48" s="78">
        <v>102.59</v>
      </c>
      <c r="J48" s="77">
        <v>1108</v>
      </c>
      <c r="K48" s="68">
        <v>0</v>
      </c>
      <c r="L48" s="69">
        <f t="shared" si="0"/>
        <v>102.59</v>
      </c>
      <c r="M48" s="273">
        <f t="shared" si="1"/>
        <v>0</v>
      </c>
      <c r="N48" s="71">
        <f t="shared" si="2"/>
        <v>10.8</v>
      </c>
      <c r="O48" s="72">
        <f t="shared" si="3"/>
        <v>102.59</v>
      </c>
      <c r="P48" s="274">
        <f t="shared" si="4"/>
        <v>1107.9720000000002</v>
      </c>
    </row>
    <row r="49" spans="2:16" s="121" customFormat="1" ht="12" x14ac:dyDescent="0.2">
      <c r="B49" s="120"/>
      <c r="C49" s="56" t="s">
        <v>183</v>
      </c>
      <c r="D49" s="56" t="s">
        <v>96</v>
      </c>
      <c r="E49" s="57" t="s">
        <v>563</v>
      </c>
      <c r="F49" s="58" t="s">
        <v>564</v>
      </c>
      <c r="G49" s="59" t="s">
        <v>108</v>
      </c>
      <c r="H49" s="60">
        <v>9</v>
      </c>
      <c r="I49" s="61">
        <v>60.5</v>
      </c>
      <c r="J49" s="60">
        <v>544.5</v>
      </c>
      <c r="K49" s="68">
        <v>0</v>
      </c>
      <c r="L49" s="69">
        <f t="shared" si="0"/>
        <v>60.5</v>
      </c>
      <c r="M49" s="273">
        <f t="shared" si="1"/>
        <v>0</v>
      </c>
      <c r="N49" s="71">
        <f t="shared" si="2"/>
        <v>9</v>
      </c>
      <c r="O49" s="72">
        <f t="shared" si="3"/>
        <v>60.5</v>
      </c>
      <c r="P49" s="274">
        <f t="shared" si="4"/>
        <v>544.5</v>
      </c>
    </row>
    <row r="50" spans="2:16" s="170" customFormat="1" ht="12.75" x14ac:dyDescent="0.2">
      <c r="B50" s="165"/>
      <c r="C50" s="79"/>
      <c r="D50" s="80" t="s">
        <v>4</v>
      </c>
      <c r="E50" s="81" t="s">
        <v>412</v>
      </c>
      <c r="F50" s="81" t="s">
        <v>413</v>
      </c>
      <c r="G50" s="79"/>
      <c r="H50" s="79"/>
      <c r="I50" s="82"/>
      <c r="J50" s="83">
        <f>+SUBTOTAL(9,J51)</f>
        <v>7435</v>
      </c>
      <c r="K50" s="68"/>
      <c r="L50" s="69"/>
      <c r="M50" s="273">
        <f>M51</f>
        <v>0</v>
      </c>
      <c r="N50" s="71"/>
      <c r="O50" s="72"/>
      <c r="P50" s="274">
        <f>P51</f>
        <v>7435.0116000000007</v>
      </c>
    </row>
    <row r="51" spans="2:16" s="121" customFormat="1" ht="12" x14ac:dyDescent="0.2">
      <c r="B51" s="120"/>
      <c r="C51" s="56" t="s">
        <v>186</v>
      </c>
      <c r="D51" s="56" t="s">
        <v>96</v>
      </c>
      <c r="E51" s="57" t="s">
        <v>565</v>
      </c>
      <c r="F51" s="58" t="s">
        <v>566</v>
      </c>
      <c r="G51" s="59" t="s">
        <v>201</v>
      </c>
      <c r="H51" s="60">
        <v>64.98</v>
      </c>
      <c r="I51" s="61">
        <v>114.42</v>
      </c>
      <c r="J51" s="60">
        <v>7435</v>
      </c>
      <c r="K51" s="68">
        <v>0</v>
      </c>
      <c r="L51" s="69">
        <f t="shared" si="0"/>
        <v>114.42</v>
      </c>
      <c r="M51" s="273">
        <f t="shared" si="1"/>
        <v>0</v>
      </c>
      <c r="N51" s="71">
        <f t="shared" si="2"/>
        <v>64.98</v>
      </c>
      <c r="O51" s="72">
        <f t="shared" si="3"/>
        <v>114.42</v>
      </c>
      <c r="P51" s="274">
        <f t="shared" si="4"/>
        <v>7435.0116000000007</v>
      </c>
    </row>
    <row r="52" spans="2:16" s="121" customFormat="1" ht="12" x14ac:dyDescent="0.2">
      <c r="B52" s="120"/>
      <c r="C52" s="120"/>
      <c r="D52" s="120"/>
      <c r="E52" s="120"/>
      <c r="F52" s="120"/>
      <c r="G52" s="120"/>
      <c r="H52" s="120"/>
      <c r="I52" s="153"/>
      <c r="J52" s="120"/>
      <c r="P52" s="274"/>
    </row>
    <row r="53" spans="2:16" ht="12.75" x14ac:dyDescent="0.2">
      <c r="D53" s="42"/>
      <c r="E53" s="43" t="s">
        <v>908</v>
      </c>
      <c r="F53" s="44"/>
      <c r="G53" s="44"/>
      <c r="H53" s="45"/>
      <c r="I53" s="44"/>
      <c r="J53" s="46">
        <f>ROUND(SUBTOTAL(9,J12:J51),2)</f>
        <v>253789.8</v>
      </c>
      <c r="K53" s="49"/>
      <c r="L53" s="46"/>
      <c r="M53" s="281">
        <f>M50+M46+M44+M40+M36+M31+M14</f>
        <v>0</v>
      </c>
      <c r="N53" s="49"/>
      <c r="O53" s="46"/>
      <c r="P53" s="281">
        <f>P50+P46+P44+P40+P36+P31+P14</f>
        <v>253789.52409999998</v>
      </c>
    </row>
    <row r="54" spans="2:16" ht="12.75" x14ac:dyDescent="0.2">
      <c r="H54" s="50"/>
      <c r="I54" s="8"/>
      <c r="J54" s="9"/>
    </row>
    <row r="55" spans="2:16" ht="14.25" x14ac:dyDescent="0.2">
      <c r="E55" s="6" t="s">
        <v>849</v>
      </c>
      <c r="F55" s="6"/>
      <c r="G55" s="320" t="s">
        <v>1224</v>
      </c>
      <c r="H55" s="50"/>
      <c r="I55" s="8"/>
      <c r="J55" s="6"/>
      <c r="K55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D9:H10" name="Oblast1_2_3"/>
  </protectedRanges>
  <autoFilter ref="C10:P51" xr:uid="{00000000-0009-0000-0000-000021000000}"/>
  <mergeCells count="2">
    <mergeCell ref="K9:M9"/>
    <mergeCell ref="N9:P9"/>
  </mergeCells>
  <conditionalFormatting sqref="D3:E8 H3:J8 Q9:HI10 D1:J2 D11:HI11 K12:O14 K1:HI8 K15:L51">
    <cfRule type="cellIs" dxfId="317" priority="103" operator="lessThan">
      <formula>0</formula>
    </cfRule>
  </conditionalFormatting>
  <conditionalFormatting sqref="G4">
    <cfRule type="cellIs" dxfId="316" priority="102" operator="lessThan">
      <formula>0</formula>
    </cfRule>
  </conditionalFormatting>
  <conditionalFormatting sqref="G3">
    <cfRule type="cellIs" dxfId="315" priority="101" operator="lessThan">
      <formula>0</formula>
    </cfRule>
  </conditionalFormatting>
  <conditionalFormatting sqref="K12:O14 K15:L51">
    <cfRule type="cellIs" dxfId="314" priority="48" operator="lessThan">
      <formula>0</formula>
    </cfRule>
  </conditionalFormatting>
  <conditionalFormatting sqref="D53:D55 E53:HS54 Q55:HS55">
    <cfRule type="cellIs" dxfId="313" priority="37" operator="lessThan">
      <formula>0</formula>
    </cfRule>
  </conditionalFormatting>
  <conditionalFormatting sqref="N15:O51">
    <cfRule type="cellIs" dxfId="312" priority="18" operator="lessThan">
      <formula>0</formula>
    </cfRule>
  </conditionalFormatting>
  <conditionalFormatting sqref="N15:O51">
    <cfRule type="cellIs" dxfId="311" priority="17" operator="lessThan">
      <formula>0</formula>
    </cfRule>
  </conditionalFormatting>
  <conditionalFormatting sqref="P14">
    <cfRule type="cellIs" dxfId="310" priority="12" operator="lessThan">
      <formula>0</formula>
    </cfRule>
  </conditionalFormatting>
  <conditionalFormatting sqref="P14">
    <cfRule type="cellIs" dxfId="309" priority="11" operator="lessThan">
      <formula>0</formula>
    </cfRule>
  </conditionalFormatting>
  <conditionalFormatting sqref="D9:J10">
    <cfRule type="cellIs" dxfId="308" priority="7" operator="lessThan">
      <formula>0</formula>
    </cfRule>
  </conditionalFormatting>
  <conditionalFormatting sqref="K9:L10 N9:O9">
    <cfRule type="cellIs" dxfId="307" priority="6" operator="lessThan">
      <formula>0</formula>
    </cfRule>
  </conditionalFormatting>
  <conditionalFormatting sqref="M10:P10">
    <cfRule type="cellIs" dxfId="306" priority="5" operator="lessThan">
      <formula>0</formula>
    </cfRule>
  </conditionalFormatting>
  <conditionalFormatting sqref="G55:I55 L55:P55">
    <cfRule type="cellIs" dxfId="305" priority="4" operator="lessThan">
      <formula>0</formula>
    </cfRule>
  </conditionalFormatting>
  <conditionalFormatting sqref="G55:I55 L55:M55">
    <cfRule type="cellIs" dxfId="304" priority="3" operator="lessThan">
      <formula>0</formula>
    </cfRule>
  </conditionalFormatting>
  <conditionalFormatting sqref="G55:I55">
    <cfRule type="cellIs" dxfId="303" priority="2" operator="lessThan">
      <formula>0</formula>
    </cfRule>
  </conditionalFormatting>
  <conditionalFormatting sqref="G55:I55">
    <cfRule type="cellIs" dxfId="302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4" fitToHeight="0" orientation="landscape" r:id="rId1"/>
  <headerFooter>
    <oddFooter>&amp;CStrana &amp;P z &amp;N</oddFooter>
  </headerFooter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FF0000"/>
    <pageSetUpPr fitToPage="1"/>
  </sheetPr>
  <dimension ref="B1:Q79"/>
  <sheetViews>
    <sheetView showGridLines="0" view="pageBreakPreview" topLeftCell="A29" zoomScale="60" zoomScaleNormal="85" workbookViewId="0">
      <selection activeCell="J63" sqref="J63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33203125" style="8" customWidth="1"/>
    <col min="11" max="11" width="12.6640625" style="8" customWidth="1"/>
    <col min="12" max="12" width="19.6640625" style="8" customWidth="1"/>
    <col min="13" max="13" width="18.6640625" style="8" customWidth="1"/>
    <col min="14" max="15" width="12.6640625" style="8" customWidth="1"/>
    <col min="16" max="16" width="18.83203125" style="8" customWidth="1"/>
    <col min="17" max="17" width="14.6640625" style="8" customWidth="1"/>
    <col min="18" max="24" width="12.6640625" style="8" customWidth="1"/>
    <col min="25" max="16384" width="9.33203125" style="8"/>
  </cols>
  <sheetData>
    <row r="1" spans="2:17" ht="15" x14ac:dyDescent="0.2">
      <c r="F1" s="11"/>
      <c r="G1" s="89"/>
      <c r="H1" s="88"/>
      <c r="I1" s="8"/>
      <c r="J1" s="9"/>
    </row>
    <row r="2" spans="2:17" s="88" customFormat="1" ht="15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17" s="88" customFormat="1" ht="15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17" s="13" customFormat="1" ht="15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17" s="13" customFormat="1" ht="15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17" s="13" customFormat="1" ht="15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17" s="13" customFormat="1" ht="15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17" s="14" customFormat="1" ht="12.75" x14ac:dyDescent="0.2">
      <c r="D8" s="146"/>
      <c r="F8" s="11"/>
      <c r="G8" s="105"/>
      <c r="H8" s="145"/>
      <c r="K8" s="149" t="s">
        <v>851</v>
      </c>
      <c r="L8" s="180" t="str">
        <f>+C12</f>
        <v>SO 03.2 - Výtlačný řad Ve</v>
      </c>
      <c r="M8" s="180"/>
      <c r="O8" s="151"/>
    </row>
    <row r="9" spans="2:17" s="15" customFormat="1" ht="12.75" customHeight="1" x14ac:dyDescent="0.2">
      <c r="C9" s="174"/>
      <c r="D9" s="174"/>
      <c r="E9" s="176"/>
      <c r="F9" s="176"/>
      <c r="G9" s="176"/>
      <c r="H9" s="176"/>
      <c r="I9" s="176"/>
      <c r="J9" s="177"/>
      <c r="K9" s="339" t="s">
        <v>1208</v>
      </c>
      <c r="L9" s="339"/>
      <c r="M9" s="340"/>
      <c r="N9" s="341" t="s">
        <v>1215</v>
      </c>
      <c r="O9" s="341"/>
      <c r="P9" s="342"/>
      <c r="Q9" s="87"/>
    </row>
    <row r="10" spans="2:17" s="15" customFormat="1" ht="25.5" customHeight="1" x14ac:dyDescent="0.2">
      <c r="C10" s="16"/>
      <c r="D10" s="16"/>
      <c r="E10" s="18" t="s">
        <v>869</v>
      </c>
      <c r="F10" s="18" t="s">
        <v>870</v>
      </c>
      <c r="G10" s="18" t="s">
        <v>871</v>
      </c>
      <c r="H10" s="18" t="s">
        <v>91</v>
      </c>
      <c r="I10" s="19" t="s">
        <v>92</v>
      </c>
      <c r="J10" s="20" t="s">
        <v>872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41"/>
    </row>
    <row r="11" spans="2:17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17" s="121" customFormat="1" ht="15.75" x14ac:dyDescent="0.25">
      <c r="B12" s="120"/>
      <c r="C12" s="152" t="s">
        <v>567</v>
      </c>
      <c r="D12" s="120"/>
      <c r="E12" s="120"/>
      <c r="F12" s="120"/>
      <c r="G12" s="120"/>
      <c r="H12" s="120"/>
      <c r="I12" s="153"/>
      <c r="J12" s="154">
        <f>+SUBTOTAL(9,J13:J75)</f>
        <v>287526.19999999995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17" s="170" customFormat="1" ht="15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+SUBTOTAL(9,J14:J71)</f>
        <v>284172.19999999995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17" s="170" customFormat="1" ht="45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+SUBTOTAL(9,J15:J38)</f>
        <v>161964.4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SUM(M15:M38)</f>
        <v>-11655.674299999999</v>
      </c>
      <c r="N14" s="278" t="str">
        <f>IF(ISBLANK(H14),"",H14-K14)</f>
        <v/>
      </c>
      <c r="O14" s="272" t="str">
        <f>IF(ISBLANK(H14),"",J14-L14)</f>
        <v/>
      </c>
      <c r="P14" s="272">
        <f>SUM(P15:P38)</f>
        <v>150308.6581</v>
      </c>
      <c r="Q14" s="218" t="s">
        <v>1216</v>
      </c>
    </row>
    <row r="15" spans="2:17" s="121" customFormat="1" ht="12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18.809999999999999</v>
      </c>
      <c r="I15" s="61">
        <v>40.770000000000003</v>
      </c>
      <c r="J15" s="60">
        <v>766.9</v>
      </c>
      <c r="K15" s="68">
        <f>ROUND(64.3/69.3*Q15-Q15,2)</f>
        <v>-1.36</v>
      </c>
      <c r="L15" s="69">
        <f>I15</f>
        <v>40.770000000000003</v>
      </c>
      <c r="M15" s="273">
        <f>K15*L15</f>
        <v>-55.447200000000009</v>
      </c>
      <c r="N15" s="71">
        <f>H15+K15</f>
        <v>17.45</v>
      </c>
      <c r="O15" s="72">
        <f>I15</f>
        <v>40.770000000000003</v>
      </c>
      <c r="P15" s="274">
        <f>N15*O15</f>
        <v>711.43650000000002</v>
      </c>
      <c r="Q15" s="291">
        <f>ROUND(69.3/69*H15,2)</f>
        <v>18.89</v>
      </c>
    </row>
    <row r="16" spans="2:17" s="121" customFormat="1" ht="12" x14ac:dyDescent="0.2">
      <c r="B16" s="120"/>
      <c r="C16" s="56" t="s">
        <v>13</v>
      </c>
      <c r="D16" s="56" t="s">
        <v>96</v>
      </c>
      <c r="E16" s="57" t="s">
        <v>119</v>
      </c>
      <c r="F16" s="58" t="s">
        <v>120</v>
      </c>
      <c r="G16" s="59" t="s">
        <v>108</v>
      </c>
      <c r="H16" s="60">
        <v>14.52</v>
      </c>
      <c r="I16" s="61">
        <v>53.92</v>
      </c>
      <c r="J16" s="60">
        <v>782.9</v>
      </c>
      <c r="K16" s="68">
        <f t="shared" ref="K16:K40" si="0">ROUND(64.3/69.3*Q16-Q16,2)</f>
        <v>-1.05</v>
      </c>
      <c r="L16" s="69">
        <f t="shared" ref="L16:L75" si="1">I16</f>
        <v>53.92</v>
      </c>
      <c r="M16" s="273">
        <f t="shared" ref="M16:M75" si="2">K16*L16</f>
        <v>-56.616000000000007</v>
      </c>
      <c r="N16" s="71">
        <f t="shared" ref="N16:N75" si="3">H16+K16</f>
        <v>13.469999999999999</v>
      </c>
      <c r="O16" s="72">
        <f t="shared" ref="O16:O75" si="4">I16</f>
        <v>53.92</v>
      </c>
      <c r="P16" s="274">
        <f t="shared" ref="P16:P75" si="5">N16*O16</f>
        <v>726.30239999999992</v>
      </c>
      <c r="Q16" s="291">
        <f t="shared" ref="Q16:Q75" si="6">ROUND(69.3/69*H16,2)</f>
        <v>14.58</v>
      </c>
    </row>
    <row r="17" spans="2:17" s="121" customFormat="1" ht="12" x14ac:dyDescent="0.2">
      <c r="B17" s="120"/>
      <c r="C17" s="56" t="s">
        <v>100</v>
      </c>
      <c r="D17" s="56" t="s">
        <v>96</v>
      </c>
      <c r="E17" s="57" t="s">
        <v>125</v>
      </c>
      <c r="F17" s="58" t="s">
        <v>126</v>
      </c>
      <c r="G17" s="59" t="s">
        <v>108</v>
      </c>
      <c r="H17" s="60">
        <v>8.19</v>
      </c>
      <c r="I17" s="61">
        <v>55.24</v>
      </c>
      <c r="J17" s="60">
        <v>452.4</v>
      </c>
      <c r="K17" s="68">
        <v>0</v>
      </c>
      <c r="L17" s="69">
        <f t="shared" si="1"/>
        <v>55.24</v>
      </c>
      <c r="M17" s="273">
        <f t="shared" si="2"/>
        <v>0</v>
      </c>
      <c r="N17" s="71">
        <f t="shared" si="3"/>
        <v>8.19</v>
      </c>
      <c r="O17" s="72">
        <f t="shared" si="4"/>
        <v>55.24</v>
      </c>
      <c r="P17" s="274">
        <f t="shared" si="5"/>
        <v>452.41559999999998</v>
      </c>
      <c r="Q17" s="291">
        <f t="shared" si="6"/>
        <v>8.23</v>
      </c>
    </row>
    <row r="18" spans="2:17" s="121" customFormat="1" ht="12" x14ac:dyDescent="0.2">
      <c r="B18" s="120"/>
      <c r="C18" s="56" t="s">
        <v>105</v>
      </c>
      <c r="D18" s="56" t="s">
        <v>96</v>
      </c>
      <c r="E18" s="57" t="s">
        <v>128</v>
      </c>
      <c r="F18" s="58" t="s">
        <v>129</v>
      </c>
      <c r="G18" s="59" t="s">
        <v>108</v>
      </c>
      <c r="H18" s="60">
        <v>4.29</v>
      </c>
      <c r="I18" s="61">
        <v>151.25</v>
      </c>
      <c r="J18" s="60">
        <v>648.9</v>
      </c>
      <c r="K18" s="68">
        <v>0</v>
      </c>
      <c r="L18" s="69">
        <f t="shared" si="1"/>
        <v>151.25</v>
      </c>
      <c r="M18" s="273">
        <f t="shared" si="2"/>
        <v>0</v>
      </c>
      <c r="N18" s="71">
        <f t="shared" si="3"/>
        <v>4.29</v>
      </c>
      <c r="O18" s="72">
        <f t="shared" si="4"/>
        <v>151.25</v>
      </c>
      <c r="P18" s="274">
        <f t="shared" si="5"/>
        <v>648.86249999999995</v>
      </c>
      <c r="Q18" s="291">
        <f t="shared" si="6"/>
        <v>4.3099999999999996</v>
      </c>
    </row>
    <row r="19" spans="2:17" s="121" customFormat="1" ht="12" x14ac:dyDescent="0.2">
      <c r="B19" s="120"/>
      <c r="C19" s="56" t="s">
        <v>109</v>
      </c>
      <c r="D19" s="56" t="s">
        <v>96</v>
      </c>
      <c r="E19" s="57" t="s">
        <v>142</v>
      </c>
      <c r="F19" s="58" t="s">
        <v>143</v>
      </c>
      <c r="G19" s="59" t="s">
        <v>133</v>
      </c>
      <c r="H19" s="60">
        <v>1.1000000000000001</v>
      </c>
      <c r="I19" s="61">
        <v>170.98</v>
      </c>
      <c r="J19" s="60">
        <v>188.1</v>
      </c>
      <c r="K19" s="68">
        <f t="shared" si="0"/>
        <v>-0.08</v>
      </c>
      <c r="L19" s="69">
        <f t="shared" si="1"/>
        <v>170.98</v>
      </c>
      <c r="M19" s="273">
        <f t="shared" si="2"/>
        <v>-13.6784</v>
      </c>
      <c r="N19" s="71">
        <f t="shared" si="3"/>
        <v>1.02</v>
      </c>
      <c r="O19" s="72">
        <f t="shared" si="4"/>
        <v>170.98</v>
      </c>
      <c r="P19" s="274">
        <f t="shared" si="5"/>
        <v>174.39959999999999</v>
      </c>
      <c r="Q19" s="291">
        <f t="shared" si="6"/>
        <v>1.1000000000000001</v>
      </c>
    </row>
    <row r="20" spans="2:17" s="121" customFormat="1" ht="12" x14ac:dyDescent="0.2">
      <c r="B20" s="120"/>
      <c r="C20" s="56" t="s">
        <v>112</v>
      </c>
      <c r="D20" s="56" t="s">
        <v>96</v>
      </c>
      <c r="E20" s="57" t="s">
        <v>145</v>
      </c>
      <c r="F20" s="58" t="s">
        <v>146</v>
      </c>
      <c r="G20" s="59" t="s">
        <v>133</v>
      </c>
      <c r="H20" s="60">
        <v>7.7</v>
      </c>
      <c r="I20" s="61">
        <v>147.30000000000001</v>
      </c>
      <c r="J20" s="60">
        <v>1134.2</v>
      </c>
      <c r="K20" s="68">
        <f t="shared" si="0"/>
        <v>-0.56000000000000005</v>
      </c>
      <c r="L20" s="69">
        <f t="shared" si="1"/>
        <v>147.30000000000001</v>
      </c>
      <c r="M20" s="273">
        <f t="shared" si="2"/>
        <v>-82.488000000000014</v>
      </c>
      <c r="N20" s="71">
        <f t="shared" si="3"/>
        <v>7.1400000000000006</v>
      </c>
      <c r="O20" s="72">
        <f t="shared" si="4"/>
        <v>147.30000000000001</v>
      </c>
      <c r="P20" s="274">
        <f t="shared" si="5"/>
        <v>1051.7220000000002</v>
      </c>
      <c r="Q20" s="291">
        <f t="shared" si="6"/>
        <v>7.73</v>
      </c>
    </row>
    <row r="21" spans="2:17" s="121" customFormat="1" ht="12" x14ac:dyDescent="0.2">
      <c r="B21" s="120"/>
      <c r="C21" s="56" t="s">
        <v>115</v>
      </c>
      <c r="D21" s="56" t="s">
        <v>96</v>
      </c>
      <c r="E21" s="57" t="s">
        <v>148</v>
      </c>
      <c r="F21" s="58" t="s">
        <v>149</v>
      </c>
      <c r="G21" s="59" t="s">
        <v>150</v>
      </c>
      <c r="H21" s="60">
        <v>22.84</v>
      </c>
      <c r="I21" s="61">
        <v>38.14</v>
      </c>
      <c r="J21" s="60">
        <v>871.1</v>
      </c>
      <c r="K21" s="68">
        <f t="shared" si="0"/>
        <v>-1.66</v>
      </c>
      <c r="L21" s="69">
        <f t="shared" si="1"/>
        <v>38.14</v>
      </c>
      <c r="M21" s="273">
        <f t="shared" si="2"/>
        <v>-63.312399999999997</v>
      </c>
      <c r="N21" s="71">
        <f t="shared" si="3"/>
        <v>21.18</v>
      </c>
      <c r="O21" s="72">
        <f t="shared" si="4"/>
        <v>38.14</v>
      </c>
      <c r="P21" s="274">
        <f t="shared" si="5"/>
        <v>807.80520000000001</v>
      </c>
      <c r="Q21" s="291">
        <f t="shared" si="6"/>
        <v>22.94</v>
      </c>
    </row>
    <row r="22" spans="2:17" s="121" customFormat="1" ht="12" x14ac:dyDescent="0.2">
      <c r="B22" s="120"/>
      <c r="C22" s="56" t="s">
        <v>118</v>
      </c>
      <c r="D22" s="56" t="s">
        <v>96</v>
      </c>
      <c r="E22" s="57" t="s">
        <v>155</v>
      </c>
      <c r="F22" s="58" t="s">
        <v>156</v>
      </c>
      <c r="G22" s="59" t="s">
        <v>150</v>
      </c>
      <c r="H22" s="60">
        <v>2.4700000000000002</v>
      </c>
      <c r="I22" s="61">
        <v>257.77999999999997</v>
      </c>
      <c r="J22" s="60">
        <v>636.70000000000005</v>
      </c>
      <c r="K22" s="68">
        <f t="shared" si="0"/>
        <v>-0.18</v>
      </c>
      <c r="L22" s="69">
        <f t="shared" si="1"/>
        <v>257.77999999999997</v>
      </c>
      <c r="M22" s="273">
        <f t="shared" si="2"/>
        <v>-46.400399999999991</v>
      </c>
      <c r="N22" s="71">
        <f t="shared" si="3"/>
        <v>2.29</v>
      </c>
      <c r="O22" s="72">
        <f t="shared" si="4"/>
        <v>257.77999999999997</v>
      </c>
      <c r="P22" s="274">
        <f t="shared" si="5"/>
        <v>590.31619999999998</v>
      </c>
      <c r="Q22" s="291">
        <f t="shared" si="6"/>
        <v>2.48</v>
      </c>
    </row>
    <row r="23" spans="2:17" s="121" customFormat="1" ht="12" x14ac:dyDescent="0.2">
      <c r="B23" s="120"/>
      <c r="C23" s="56" t="s">
        <v>121</v>
      </c>
      <c r="D23" s="56" t="s">
        <v>96</v>
      </c>
      <c r="E23" s="57" t="s">
        <v>157</v>
      </c>
      <c r="F23" s="58" t="s">
        <v>158</v>
      </c>
      <c r="G23" s="59" t="s">
        <v>150</v>
      </c>
      <c r="H23" s="60">
        <v>15.7</v>
      </c>
      <c r="I23" s="61">
        <v>257.77999999999997</v>
      </c>
      <c r="J23" s="60">
        <v>4047.1</v>
      </c>
      <c r="K23" s="68">
        <f t="shared" si="0"/>
        <v>-1.1399999999999999</v>
      </c>
      <c r="L23" s="69">
        <f t="shared" si="1"/>
        <v>257.77999999999997</v>
      </c>
      <c r="M23" s="273">
        <f t="shared" si="2"/>
        <v>-293.86919999999992</v>
      </c>
      <c r="N23" s="71">
        <f t="shared" si="3"/>
        <v>14.559999999999999</v>
      </c>
      <c r="O23" s="72">
        <f t="shared" si="4"/>
        <v>257.77999999999997</v>
      </c>
      <c r="P23" s="274">
        <f t="shared" si="5"/>
        <v>3753.2767999999992</v>
      </c>
      <c r="Q23" s="291">
        <f t="shared" si="6"/>
        <v>15.77</v>
      </c>
    </row>
    <row r="24" spans="2:17" s="121" customFormat="1" ht="12" x14ac:dyDescent="0.2">
      <c r="B24" s="120"/>
      <c r="C24" s="56" t="s">
        <v>124</v>
      </c>
      <c r="D24" s="56" t="s">
        <v>96</v>
      </c>
      <c r="E24" s="57" t="s">
        <v>160</v>
      </c>
      <c r="F24" s="58" t="s">
        <v>161</v>
      </c>
      <c r="G24" s="59" t="s">
        <v>150</v>
      </c>
      <c r="H24" s="60">
        <v>4.71</v>
      </c>
      <c r="I24" s="61">
        <v>13.15</v>
      </c>
      <c r="J24" s="60">
        <v>61.9</v>
      </c>
      <c r="K24" s="68">
        <f t="shared" si="0"/>
        <v>-0.34</v>
      </c>
      <c r="L24" s="69">
        <f t="shared" si="1"/>
        <v>13.15</v>
      </c>
      <c r="M24" s="273">
        <f t="shared" si="2"/>
        <v>-4.4710000000000001</v>
      </c>
      <c r="N24" s="71">
        <f t="shared" si="3"/>
        <v>4.37</v>
      </c>
      <c r="O24" s="72">
        <f t="shared" si="4"/>
        <v>13.15</v>
      </c>
      <c r="P24" s="274">
        <f t="shared" si="5"/>
        <v>57.465500000000006</v>
      </c>
      <c r="Q24" s="291">
        <f t="shared" si="6"/>
        <v>4.7300000000000004</v>
      </c>
    </row>
    <row r="25" spans="2:17" s="121" customFormat="1" ht="12" x14ac:dyDescent="0.2">
      <c r="B25" s="120"/>
      <c r="C25" s="56" t="s">
        <v>127</v>
      </c>
      <c r="D25" s="56" t="s">
        <v>96</v>
      </c>
      <c r="E25" s="57" t="s">
        <v>163</v>
      </c>
      <c r="F25" s="58" t="s">
        <v>164</v>
      </c>
      <c r="G25" s="59" t="s">
        <v>150</v>
      </c>
      <c r="H25" s="60">
        <v>24.49</v>
      </c>
      <c r="I25" s="61">
        <v>315.64999999999998</v>
      </c>
      <c r="J25" s="60">
        <v>7730.3</v>
      </c>
      <c r="K25" s="68">
        <f t="shared" si="0"/>
        <v>-1.77</v>
      </c>
      <c r="L25" s="69">
        <f t="shared" si="1"/>
        <v>315.64999999999998</v>
      </c>
      <c r="M25" s="273">
        <f t="shared" si="2"/>
        <v>-558.70049999999992</v>
      </c>
      <c r="N25" s="71">
        <f t="shared" si="3"/>
        <v>22.72</v>
      </c>
      <c r="O25" s="72">
        <f t="shared" si="4"/>
        <v>315.64999999999998</v>
      </c>
      <c r="P25" s="274">
        <f t="shared" si="5"/>
        <v>7171.5679999999993</v>
      </c>
      <c r="Q25" s="291">
        <f t="shared" si="6"/>
        <v>24.6</v>
      </c>
    </row>
    <row r="26" spans="2:17" s="121" customFormat="1" ht="12" x14ac:dyDescent="0.2">
      <c r="B26" s="120"/>
      <c r="C26" s="56" t="s">
        <v>130</v>
      </c>
      <c r="D26" s="56" t="s">
        <v>96</v>
      </c>
      <c r="E26" s="57" t="s">
        <v>166</v>
      </c>
      <c r="F26" s="58" t="s">
        <v>167</v>
      </c>
      <c r="G26" s="59" t="s">
        <v>150</v>
      </c>
      <c r="H26" s="60">
        <v>7.35</v>
      </c>
      <c r="I26" s="61">
        <v>15.78</v>
      </c>
      <c r="J26" s="60">
        <v>116</v>
      </c>
      <c r="K26" s="68">
        <f t="shared" si="0"/>
        <v>-0.53</v>
      </c>
      <c r="L26" s="69">
        <f t="shared" si="1"/>
        <v>15.78</v>
      </c>
      <c r="M26" s="273">
        <f t="shared" si="2"/>
        <v>-8.3634000000000004</v>
      </c>
      <c r="N26" s="71">
        <f t="shared" si="3"/>
        <v>6.8199999999999994</v>
      </c>
      <c r="O26" s="72">
        <f t="shared" si="4"/>
        <v>15.78</v>
      </c>
      <c r="P26" s="274">
        <f t="shared" si="5"/>
        <v>107.61959999999999</v>
      </c>
      <c r="Q26" s="291">
        <f t="shared" si="6"/>
        <v>7.38</v>
      </c>
    </row>
    <row r="27" spans="2:17" s="121" customFormat="1" ht="12" x14ac:dyDescent="0.2">
      <c r="B27" s="120"/>
      <c r="C27" s="56" t="s">
        <v>134</v>
      </c>
      <c r="D27" s="56" t="s">
        <v>96</v>
      </c>
      <c r="E27" s="57" t="s">
        <v>169</v>
      </c>
      <c r="F27" s="58" t="s">
        <v>170</v>
      </c>
      <c r="G27" s="59" t="s">
        <v>150</v>
      </c>
      <c r="H27" s="60">
        <v>42</v>
      </c>
      <c r="I27" s="61">
        <v>837.79</v>
      </c>
      <c r="J27" s="60">
        <v>35187.199999999997</v>
      </c>
      <c r="K27" s="68">
        <f t="shared" si="0"/>
        <v>-3.04</v>
      </c>
      <c r="L27" s="69">
        <f t="shared" si="1"/>
        <v>837.79</v>
      </c>
      <c r="M27" s="273">
        <f t="shared" si="2"/>
        <v>-2546.8815999999997</v>
      </c>
      <c r="N27" s="71">
        <f t="shared" si="3"/>
        <v>38.96</v>
      </c>
      <c r="O27" s="72">
        <f t="shared" si="4"/>
        <v>837.79</v>
      </c>
      <c r="P27" s="274">
        <f t="shared" si="5"/>
        <v>32640.2984</v>
      </c>
      <c r="Q27" s="291">
        <f t="shared" si="6"/>
        <v>42.18</v>
      </c>
    </row>
    <row r="28" spans="2:17" s="121" customFormat="1" ht="12" x14ac:dyDescent="0.2">
      <c r="B28" s="120"/>
      <c r="C28" s="56" t="s">
        <v>2</v>
      </c>
      <c r="D28" s="56" t="s">
        <v>96</v>
      </c>
      <c r="E28" s="57" t="s">
        <v>175</v>
      </c>
      <c r="F28" s="58" t="s">
        <v>176</v>
      </c>
      <c r="G28" s="59" t="s">
        <v>108</v>
      </c>
      <c r="H28" s="60">
        <v>217.08</v>
      </c>
      <c r="I28" s="61">
        <v>99.96</v>
      </c>
      <c r="J28" s="60">
        <v>21699.3</v>
      </c>
      <c r="K28" s="68">
        <f t="shared" si="0"/>
        <v>-15.73</v>
      </c>
      <c r="L28" s="69">
        <f t="shared" si="1"/>
        <v>99.96</v>
      </c>
      <c r="M28" s="273">
        <f t="shared" si="2"/>
        <v>-1572.3707999999999</v>
      </c>
      <c r="N28" s="71">
        <f t="shared" si="3"/>
        <v>201.35000000000002</v>
      </c>
      <c r="O28" s="72">
        <f t="shared" si="4"/>
        <v>99.96</v>
      </c>
      <c r="P28" s="274">
        <f t="shared" si="5"/>
        <v>20126.946</v>
      </c>
      <c r="Q28" s="291">
        <f t="shared" si="6"/>
        <v>218.02</v>
      </c>
    </row>
    <row r="29" spans="2:17" s="121" customFormat="1" ht="12" x14ac:dyDescent="0.2">
      <c r="B29" s="120"/>
      <c r="C29" s="56" t="s">
        <v>141</v>
      </c>
      <c r="D29" s="56" t="s">
        <v>96</v>
      </c>
      <c r="E29" s="57" t="s">
        <v>181</v>
      </c>
      <c r="F29" s="58" t="s">
        <v>182</v>
      </c>
      <c r="G29" s="59" t="s">
        <v>108</v>
      </c>
      <c r="H29" s="60">
        <v>217.08</v>
      </c>
      <c r="I29" s="61">
        <v>149.94</v>
      </c>
      <c r="J29" s="60">
        <v>32549</v>
      </c>
      <c r="K29" s="68">
        <f t="shared" si="0"/>
        <v>-15.73</v>
      </c>
      <c r="L29" s="69">
        <f t="shared" si="1"/>
        <v>149.94</v>
      </c>
      <c r="M29" s="273">
        <f t="shared" si="2"/>
        <v>-2358.5562</v>
      </c>
      <c r="N29" s="71">
        <f t="shared" si="3"/>
        <v>201.35000000000002</v>
      </c>
      <c r="O29" s="72">
        <f t="shared" si="4"/>
        <v>149.94</v>
      </c>
      <c r="P29" s="274">
        <f t="shared" si="5"/>
        <v>30190.419000000002</v>
      </c>
      <c r="Q29" s="291">
        <f t="shared" si="6"/>
        <v>218.02</v>
      </c>
    </row>
    <row r="30" spans="2:17" s="121" customFormat="1" ht="12" x14ac:dyDescent="0.2">
      <c r="B30" s="120"/>
      <c r="C30" s="56" t="s">
        <v>144</v>
      </c>
      <c r="D30" s="56" t="s">
        <v>96</v>
      </c>
      <c r="E30" s="57" t="s">
        <v>187</v>
      </c>
      <c r="F30" s="58" t="s">
        <v>188</v>
      </c>
      <c r="G30" s="59" t="s">
        <v>150</v>
      </c>
      <c r="H30" s="60">
        <v>138.63999999999999</v>
      </c>
      <c r="I30" s="61">
        <v>98.43</v>
      </c>
      <c r="J30" s="60">
        <v>13646.3</v>
      </c>
      <c r="K30" s="68">
        <f t="shared" si="0"/>
        <v>-10.050000000000001</v>
      </c>
      <c r="L30" s="69">
        <f t="shared" si="1"/>
        <v>98.43</v>
      </c>
      <c r="M30" s="273">
        <f t="shared" si="2"/>
        <v>-989.22150000000011</v>
      </c>
      <c r="N30" s="71">
        <f t="shared" si="3"/>
        <v>128.58999999999997</v>
      </c>
      <c r="O30" s="72">
        <f t="shared" si="4"/>
        <v>98.43</v>
      </c>
      <c r="P30" s="274">
        <f t="shared" si="5"/>
        <v>12657.113699999998</v>
      </c>
      <c r="Q30" s="291">
        <f t="shared" si="6"/>
        <v>139.24</v>
      </c>
    </row>
    <row r="31" spans="2:17" s="121" customFormat="1" ht="12" x14ac:dyDescent="0.2">
      <c r="B31" s="120"/>
      <c r="C31" s="56" t="s">
        <v>147</v>
      </c>
      <c r="D31" s="56" t="s">
        <v>96</v>
      </c>
      <c r="E31" s="57" t="s">
        <v>190</v>
      </c>
      <c r="F31" s="58" t="s">
        <v>191</v>
      </c>
      <c r="G31" s="59" t="s">
        <v>150</v>
      </c>
      <c r="H31" s="60">
        <v>25.74</v>
      </c>
      <c r="I31" s="61">
        <v>247.39</v>
      </c>
      <c r="J31" s="60">
        <v>6367.8</v>
      </c>
      <c r="K31" s="68">
        <f t="shared" si="0"/>
        <v>-1.87</v>
      </c>
      <c r="L31" s="69">
        <f t="shared" si="1"/>
        <v>247.39</v>
      </c>
      <c r="M31" s="273">
        <f t="shared" si="2"/>
        <v>-462.61930000000001</v>
      </c>
      <c r="N31" s="71">
        <f t="shared" si="3"/>
        <v>23.869999999999997</v>
      </c>
      <c r="O31" s="72">
        <f t="shared" si="4"/>
        <v>247.39</v>
      </c>
      <c r="P31" s="274">
        <f t="shared" si="5"/>
        <v>5905.1992999999993</v>
      </c>
      <c r="Q31" s="291">
        <f t="shared" si="6"/>
        <v>25.85</v>
      </c>
    </row>
    <row r="32" spans="2:17" s="121" customFormat="1" ht="12" x14ac:dyDescent="0.2">
      <c r="B32" s="120"/>
      <c r="C32" s="56" t="s">
        <v>151</v>
      </c>
      <c r="D32" s="56" t="s">
        <v>96</v>
      </c>
      <c r="E32" s="57" t="s">
        <v>193</v>
      </c>
      <c r="F32" s="58" t="s">
        <v>194</v>
      </c>
      <c r="G32" s="59" t="s">
        <v>150</v>
      </c>
      <c r="H32" s="60">
        <v>25.74</v>
      </c>
      <c r="I32" s="61">
        <v>44.72</v>
      </c>
      <c r="J32" s="60">
        <v>1151.0999999999999</v>
      </c>
      <c r="K32" s="68">
        <f t="shared" si="0"/>
        <v>-1.87</v>
      </c>
      <c r="L32" s="69">
        <f t="shared" si="1"/>
        <v>44.72</v>
      </c>
      <c r="M32" s="273">
        <f t="shared" si="2"/>
        <v>-83.626400000000004</v>
      </c>
      <c r="N32" s="71">
        <f t="shared" si="3"/>
        <v>23.869999999999997</v>
      </c>
      <c r="O32" s="72">
        <f t="shared" si="4"/>
        <v>44.72</v>
      </c>
      <c r="P32" s="274">
        <f t="shared" si="5"/>
        <v>1067.4663999999998</v>
      </c>
      <c r="Q32" s="291">
        <f t="shared" si="6"/>
        <v>25.85</v>
      </c>
    </row>
    <row r="33" spans="2:17" s="121" customFormat="1" ht="12" x14ac:dyDescent="0.2">
      <c r="B33" s="120"/>
      <c r="C33" s="56" t="s">
        <v>154</v>
      </c>
      <c r="D33" s="56" t="s">
        <v>96</v>
      </c>
      <c r="E33" s="57" t="s">
        <v>196</v>
      </c>
      <c r="F33" s="58" t="s">
        <v>197</v>
      </c>
      <c r="G33" s="59" t="s">
        <v>150</v>
      </c>
      <c r="H33" s="60">
        <v>25.74</v>
      </c>
      <c r="I33" s="61">
        <v>11.84</v>
      </c>
      <c r="J33" s="60">
        <v>304.8</v>
      </c>
      <c r="K33" s="68">
        <f t="shared" si="0"/>
        <v>-1.87</v>
      </c>
      <c r="L33" s="69">
        <f t="shared" si="1"/>
        <v>11.84</v>
      </c>
      <c r="M33" s="273">
        <f t="shared" si="2"/>
        <v>-22.140800000000002</v>
      </c>
      <c r="N33" s="71">
        <f t="shared" si="3"/>
        <v>23.869999999999997</v>
      </c>
      <c r="O33" s="72">
        <f t="shared" si="4"/>
        <v>11.84</v>
      </c>
      <c r="P33" s="274">
        <f t="shared" si="5"/>
        <v>282.62079999999997</v>
      </c>
      <c r="Q33" s="291">
        <f t="shared" si="6"/>
        <v>25.85</v>
      </c>
    </row>
    <row r="34" spans="2:17" s="121" customFormat="1" ht="12" x14ac:dyDescent="0.2">
      <c r="B34" s="120"/>
      <c r="C34" s="56" t="s">
        <v>1</v>
      </c>
      <c r="D34" s="56" t="s">
        <v>96</v>
      </c>
      <c r="E34" s="57" t="s">
        <v>199</v>
      </c>
      <c r="F34" s="58" t="s">
        <v>200</v>
      </c>
      <c r="G34" s="59" t="s">
        <v>201</v>
      </c>
      <c r="H34" s="60">
        <v>51.48</v>
      </c>
      <c r="I34" s="61">
        <v>116</v>
      </c>
      <c r="J34" s="60">
        <v>5971.7</v>
      </c>
      <c r="K34" s="68">
        <f t="shared" si="0"/>
        <v>-3.73</v>
      </c>
      <c r="L34" s="69">
        <f t="shared" si="1"/>
        <v>116</v>
      </c>
      <c r="M34" s="273">
        <f t="shared" si="2"/>
        <v>-432.68</v>
      </c>
      <c r="N34" s="71">
        <f t="shared" si="3"/>
        <v>47.75</v>
      </c>
      <c r="O34" s="72">
        <f t="shared" si="4"/>
        <v>116</v>
      </c>
      <c r="P34" s="274">
        <f t="shared" si="5"/>
        <v>5539</v>
      </c>
      <c r="Q34" s="291">
        <f t="shared" si="6"/>
        <v>51.7</v>
      </c>
    </row>
    <row r="35" spans="2:17" s="121" customFormat="1" ht="12" x14ac:dyDescent="0.2">
      <c r="B35" s="120"/>
      <c r="C35" s="56" t="s">
        <v>159</v>
      </c>
      <c r="D35" s="56" t="s">
        <v>96</v>
      </c>
      <c r="E35" s="57" t="s">
        <v>203</v>
      </c>
      <c r="F35" s="58" t="s">
        <v>204</v>
      </c>
      <c r="G35" s="59" t="s">
        <v>150</v>
      </c>
      <c r="H35" s="60">
        <v>56.45</v>
      </c>
      <c r="I35" s="61">
        <v>143.36000000000001</v>
      </c>
      <c r="J35" s="60">
        <v>8092.7</v>
      </c>
      <c r="K35" s="68">
        <f t="shared" si="0"/>
        <v>-4.09</v>
      </c>
      <c r="L35" s="69">
        <f t="shared" si="1"/>
        <v>143.36000000000001</v>
      </c>
      <c r="M35" s="273">
        <f t="shared" si="2"/>
        <v>-586.3424</v>
      </c>
      <c r="N35" s="71">
        <f t="shared" si="3"/>
        <v>52.36</v>
      </c>
      <c r="O35" s="72">
        <f t="shared" si="4"/>
        <v>143.36000000000001</v>
      </c>
      <c r="P35" s="274">
        <f t="shared" si="5"/>
        <v>7506.3296000000009</v>
      </c>
      <c r="Q35" s="291">
        <f t="shared" si="6"/>
        <v>56.7</v>
      </c>
    </row>
    <row r="36" spans="2:17" s="121" customFormat="1" ht="12" x14ac:dyDescent="0.2">
      <c r="B36" s="120"/>
      <c r="C36" s="56" t="s">
        <v>162</v>
      </c>
      <c r="D36" s="56" t="s">
        <v>96</v>
      </c>
      <c r="E36" s="57" t="s">
        <v>206</v>
      </c>
      <c r="F36" s="58" t="s">
        <v>207</v>
      </c>
      <c r="G36" s="59" t="s">
        <v>150</v>
      </c>
      <c r="H36" s="60">
        <v>24.83</v>
      </c>
      <c r="I36" s="61">
        <v>318.27999999999997</v>
      </c>
      <c r="J36" s="60">
        <v>7902.9</v>
      </c>
      <c r="K36" s="68">
        <f t="shared" si="0"/>
        <v>-1.8</v>
      </c>
      <c r="L36" s="69">
        <f t="shared" si="1"/>
        <v>318.27999999999997</v>
      </c>
      <c r="M36" s="273">
        <f t="shared" si="2"/>
        <v>-572.904</v>
      </c>
      <c r="N36" s="71">
        <f t="shared" si="3"/>
        <v>23.029999999999998</v>
      </c>
      <c r="O36" s="72">
        <f t="shared" si="4"/>
        <v>318.27999999999997</v>
      </c>
      <c r="P36" s="274">
        <f t="shared" si="5"/>
        <v>7329.9883999999984</v>
      </c>
      <c r="Q36" s="291">
        <f t="shared" si="6"/>
        <v>24.94</v>
      </c>
    </row>
    <row r="37" spans="2:17" s="121" customFormat="1" ht="12" x14ac:dyDescent="0.2">
      <c r="B37" s="120"/>
      <c r="C37" s="73" t="s">
        <v>165</v>
      </c>
      <c r="D37" s="73" t="s">
        <v>209</v>
      </c>
      <c r="E37" s="74" t="s">
        <v>210</v>
      </c>
      <c r="F37" s="75" t="s">
        <v>211</v>
      </c>
      <c r="G37" s="76" t="s">
        <v>201</v>
      </c>
      <c r="H37" s="77">
        <v>49.66</v>
      </c>
      <c r="I37" s="78">
        <v>172.71</v>
      </c>
      <c r="J37" s="77">
        <v>8576.7999999999993</v>
      </c>
      <c r="K37" s="68">
        <f t="shared" si="0"/>
        <v>-3.6</v>
      </c>
      <c r="L37" s="69">
        <f t="shared" si="1"/>
        <v>172.71</v>
      </c>
      <c r="M37" s="273">
        <f t="shared" si="2"/>
        <v>-621.75600000000009</v>
      </c>
      <c r="N37" s="71">
        <f t="shared" si="3"/>
        <v>46.059999999999995</v>
      </c>
      <c r="O37" s="72">
        <f t="shared" si="4"/>
        <v>172.71</v>
      </c>
      <c r="P37" s="274">
        <f t="shared" si="5"/>
        <v>7955.0225999999993</v>
      </c>
      <c r="Q37" s="291">
        <f t="shared" si="6"/>
        <v>49.88</v>
      </c>
    </row>
    <row r="38" spans="2:17" s="121" customFormat="1" ht="12" x14ac:dyDescent="0.2">
      <c r="B38" s="120"/>
      <c r="C38" s="56" t="s">
        <v>168</v>
      </c>
      <c r="D38" s="56" t="s">
        <v>96</v>
      </c>
      <c r="E38" s="57" t="s">
        <v>213</v>
      </c>
      <c r="F38" s="58" t="s">
        <v>214</v>
      </c>
      <c r="G38" s="59" t="s">
        <v>108</v>
      </c>
      <c r="H38" s="60">
        <v>57.09</v>
      </c>
      <c r="I38" s="61">
        <v>53.92</v>
      </c>
      <c r="J38" s="60">
        <v>3078.3</v>
      </c>
      <c r="K38" s="68">
        <f t="shared" si="0"/>
        <v>-4.1399999999999997</v>
      </c>
      <c r="L38" s="69">
        <f t="shared" si="1"/>
        <v>53.92</v>
      </c>
      <c r="M38" s="273">
        <f t="shared" si="2"/>
        <v>-223.22879999999998</v>
      </c>
      <c r="N38" s="71">
        <f t="shared" si="3"/>
        <v>52.95</v>
      </c>
      <c r="O38" s="72">
        <f t="shared" si="4"/>
        <v>53.92</v>
      </c>
      <c r="P38" s="274">
        <f t="shared" si="5"/>
        <v>2855.0640000000003</v>
      </c>
      <c r="Q38" s="291">
        <f t="shared" si="6"/>
        <v>57.34</v>
      </c>
    </row>
    <row r="39" spans="2:17" s="170" customFormat="1" ht="12.75" x14ac:dyDescent="0.2">
      <c r="B39" s="165"/>
      <c r="C39" s="252"/>
      <c r="D39" s="253" t="s">
        <v>4</v>
      </c>
      <c r="E39" s="254" t="s">
        <v>100</v>
      </c>
      <c r="F39" s="254" t="s">
        <v>229</v>
      </c>
      <c r="G39" s="252"/>
      <c r="H39" s="252"/>
      <c r="I39" s="255"/>
      <c r="J39" s="256">
        <f>+SUBTOTAL(9,J40)</f>
        <v>444.8</v>
      </c>
      <c r="K39" s="261"/>
      <c r="L39" s="262"/>
      <c r="M39" s="279">
        <f>M40</f>
        <v>-32.235000000000007</v>
      </c>
      <c r="N39" s="280"/>
      <c r="O39" s="262"/>
      <c r="P39" s="279">
        <f>P40</f>
        <v>412.60799999999995</v>
      </c>
      <c r="Q39" s="291">
        <f t="shared" si="6"/>
        <v>0</v>
      </c>
    </row>
    <row r="40" spans="2:17" s="121" customFormat="1" ht="12" x14ac:dyDescent="0.2">
      <c r="B40" s="120"/>
      <c r="C40" s="56" t="s">
        <v>171</v>
      </c>
      <c r="D40" s="56" t="s">
        <v>96</v>
      </c>
      <c r="E40" s="57" t="s">
        <v>481</v>
      </c>
      <c r="F40" s="58" t="s">
        <v>482</v>
      </c>
      <c r="G40" s="59" t="s">
        <v>150</v>
      </c>
      <c r="H40" s="60">
        <v>0.69</v>
      </c>
      <c r="I40" s="61">
        <v>644.70000000000005</v>
      </c>
      <c r="J40" s="60">
        <v>444.8</v>
      </c>
      <c r="K40" s="68">
        <f t="shared" si="0"/>
        <v>-0.05</v>
      </c>
      <c r="L40" s="69">
        <f t="shared" si="1"/>
        <v>644.70000000000005</v>
      </c>
      <c r="M40" s="273">
        <f t="shared" si="2"/>
        <v>-32.235000000000007</v>
      </c>
      <c r="N40" s="71">
        <f t="shared" si="3"/>
        <v>0.6399999999999999</v>
      </c>
      <c r="O40" s="72">
        <f t="shared" si="4"/>
        <v>644.70000000000005</v>
      </c>
      <c r="P40" s="274">
        <f t="shared" si="5"/>
        <v>412.60799999999995</v>
      </c>
      <c r="Q40" s="291">
        <f t="shared" si="6"/>
        <v>0.69</v>
      </c>
    </row>
    <row r="41" spans="2:17" s="170" customFormat="1" ht="12.75" x14ac:dyDescent="0.2">
      <c r="B41" s="165"/>
      <c r="C41" s="252"/>
      <c r="D41" s="253" t="s">
        <v>4</v>
      </c>
      <c r="E41" s="254" t="s">
        <v>105</v>
      </c>
      <c r="F41" s="254" t="s">
        <v>257</v>
      </c>
      <c r="G41" s="252"/>
      <c r="H41" s="252"/>
      <c r="I41" s="255"/>
      <c r="J41" s="256">
        <f>+SUBTOTAL(9,J42:J47)</f>
        <v>12823.8</v>
      </c>
      <c r="K41" s="261"/>
      <c r="L41" s="262"/>
      <c r="M41" s="279">
        <f>SUM(M42:M47)</f>
        <v>0</v>
      </c>
      <c r="N41" s="280"/>
      <c r="O41" s="262"/>
      <c r="P41" s="279">
        <f>SUM(P42:P47)</f>
        <v>12823.787399999999</v>
      </c>
      <c r="Q41" s="291">
        <f t="shared" si="6"/>
        <v>0</v>
      </c>
    </row>
    <row r="42" spans="2:17" s="121" customFormat="1" ht="12" x14ac:dyDescent="0.2">
      <c r="B42" s="120"/>
      <c r="C42" s="56" t="s">
        <v>174</v>
      </c>
      <c r="D42" s="56" t="s">
        <v>96</v>
      </c>
      <c r="E42" s="57" t="s">
        <v>262</v>
      </c>
      <c r="F42" s="58" t="s">
        <v>263</v>
      </c>
      <c r="G42" s="59" t="s">
        <v>108</v>
      </c>
      <c r="H42" s="60">
        <v>18.809999999999999</v>
      </c>
      <c r="I42" s="61">
        <v>302.54000000000002</v>
      </c>
      <c r="J42" s="60">
        <v>5690.8</v>
      </c>
      <c r="K42" s="68">
        <v>0</v>
      </c>
      <c r="L42" s="69">
        <f t="shared" si="1"/>
        <v>302.54000000000002</v>
      </c>
      <c r="M42" s="273">
        <f t="shared" si="2"/>
        <v>0</v>
      </c>
      <c r="N42" s="71">
        <f t="shared" si="3"/>
        <v>18.809999999999999</v>
      </c>
      <c r="O42" s="72">
        <f t="shared" si="4"/>
        <v>302.54000000000002</v>
      </c>
      <c r="P42" s="274">
        <f t="shared" si="5"/>
        <v>5690.7773999999999</v>
      </c>
      <c r="Q42" s="291">
        <f t="shared" si="6"/>
        <v>18.89</v>
      </c>
    </row>
    <row r="43" spans="2:17" s="121" customFormat="1" ht="12" x14ac:dyDescent="0.2">
      <c r="B43" s="120"/>
      <c r="C43" s="56" t="s">
        <v>177</v>
      </c>
      <c r="D43" s="56" t="s">
        <v>96</v>
      </c>
      <c r="E43" s="57" t="s">
        <v>265</v>
      </c>
      <c r="F43" s="58" t="s">
        <v>266</v>
      </c>
      <c r="G43" s="59" t="s">
        <v>108</v>
      </c>
      <c r="H43" s="60">
        <v>14.52</v>
      </c>
      <c r="I43" s="61">
        <v>86.36</v>
      </c>
      <c r="J43" s="60">
        <v>1253.9000000000001</v>
      </c>
      <c r="K43" s="68">
        <v>0</v>
      </c>
      <c r="L43" s="69">
        <f t="shared" si="1"/>
        <v>86.36</v>
      </c>
      <c r="M43" s="273">
        <f t="shared" si="2"/>
        <v>0</v>
      </c>
      <c r="N43" s="71">
        <f t="shared" si="3"/>
        <v>14.52</v>
      </c>
      <c r="O43" s="72">
        <f t="shared" si="4"/>
        <v>86.36</v>
      </c>
      <c r="P43" s="274">
        <f t="shared" si="5"/>
        <v>1253.9472000000001</v>
      </c>
      <c r="Q43" s="291">
        <f t="shared" si="6"/>
        <v>14.58</v>
      </c>
    </row>
    <row r="44" spans="2:17" s="121" customFormat="1" ht="12" x14ac:dyDescent="0.2">
      <c r="B44" s="120"/>
      <c r="C44" s="56" t="s">
        <v>180</v>
      </c>
      <c r="D44" s="56" t="s">
        <v>96</v>
      </c>
      <c r="E44" s="57" t="s">
        <v>268</v>
      </c>
      <c r="F44" s="58" t="s">
        <v>269</v>
      </c>
      <c r="G44" s="59" t="s">
        <v>108</v>
      </c>
      <c r="H44" s="60">
        <v>4.29</v>
      </c>
      <c r="I44" s="61">
        <v>14.18</v>
      </c>
      <c r="J44" s="60">
        <v>60.8</v>
      </c>
      <c r="K44" s="68">
        <v>0</v>
      </c>
      <c r="L44" s="69">
        <f t="shared" si="1"/>
        <v>14.18</v>
      </c>
      <c r="M44" s="273">
        <f t="shared" si="2"/>
        <v>0</v>
      </c>
      <c r="N44" s="71">
        <f t="shared" si="3"/>
        <v>4.29</v>
      </c>
      <c r="O44" s="72">
        <f t="shared" si="4"/>
        <v>14.18</v>
      </c>
      <c r="P44" s="274">
        <f t="shared" si="5"/>
        <v>60.8322</v>
      </c>
      <c r="Q44" s="291">
        <f t="shared" si="6"/>
        <v>4.3099999999999996</v>
      </c>
    </row>
    <row r="45" spans="2:17" s="121" customFormat="1" ht="12" x14ac:dyDescent="0.2">
      <c r="B45" s="120"/>
      <c r="C45" s="56" t="s">
        <v>183</v>
      </c>
      <c r="D45" s="56" t="s">
        <v>96</v>
      </c>
      <c r="E45" s="57" t="s">
        <v>271</v>
      </c>
      <c r="F45" s="58" t="s">
        <v>272</v>
      </c>
      <c r="G45" s="59" t="s">
        <v>108</v>
      </c>
      <c r="H45" s="60">
        <v>8.19</v>
      </c>
      <c r="I45" s="61">
        <v>20.62</v>
      </c>
      <c r="J45" s="60">
        <v>168.9</v>
      </c>
      <c r="K45" s="68">
        <v>0</v>
      </c>
      <c r="L45" s="69">
        <f t="shared" si="1"/>
        <v>20.62</v>
      </c>
      <c r="M45" s="273">
        <f t="shared" si="2"/>
        <v>0</v>
      </c>
      <c r="N45" s="71">
        <f t="shared" si="3"/>
        <v>8.19</v>
      </c>
      <c r="O45" s="72">
        <f t="shared" si="4"/>
        <v>20.62</v>
      </c>
      <c r="P45" s="274">
        <f t="shared" si="5"/>
        <v>168.87780000000001</v>
      </c>
      <c r="Q45" s="291">
        <f t="shared" si="6"/>
        <v>8.23</v>
      </c>
    </row>
    <row r="46" spans="2:17" s="121" customFormat="1" ht="12" x14ac:dyDescent="0.2">
      <c r="B46" s="120"/>
      <c r="C46" s="56" t="s">
        <v>186</v>
      </c>
      <c r="D46" s="56" t="s">
        <v>96</v>
      </c>
      <c r="E46" s="57" t="s">
        <v>274</v>
      </c>
      <c r="F46" s="58" t="s">
        <v>275</v>
      </c>
      <c r="G46" s="59" t="s">
        <v>108</v>
      </c>
      <c r="H46" s="60">
        <v>8.19</v>
      </c>
      <c r="I46" s="61">
        <v>396.71</v>
      </c>
      <c r="J46" s="60">
        <v>3249.1</v>
      </c>
      <c r="K46" s="68">
        <v>0</v>
      </c>
      <c r="L46" s="69">
        <f t="shared" si="1"/>
        <v>396.71</v>
      </c>
      <c r="M46" s="273">
        <f t="shared" si="2"/>
        <v>0</v>
      </c>
      <c r="N46" s="71">
        <f t="shared" si="3"/>
        <v>8.19</v>
      </c>
      <c r="O46" s="72">
        <f t="shared" si="4"/>
        <v>396.71</v>
      </c>
      <c r="P46" s="274">
        <f t="shared" si="5"/>
        <v>3249.0548999999996</v>
      </c>
      <c r="Q46" s="291">
        <f t="shared" si="6"/>
        <v>8.23</v>
      </c>
    </row>
    <row r="47" spans="2:17" s="121" customFormat="1" ht="12" x14ac:dyDescent="0.2">
      <c r="B47" s="120"/>
      <c r="C47" s="56" t="s">
        <v>189</v>
      </c>
      <c r="D47" s="56" t="s">
        <v>96</v>
      </c>
      <c r="E47" s="57" t="s">
        <v>277</v>
      </c>
      <c r="F47" s="58" t="s">
        <v>278</v>
      </c>
      <c r="G47" s="59" t="s">
        <v>108</v>
      </c>
      <c r="H47" s="60">
        <v>4.29</v>
      </c>
      <c r="I47" s="61">
        <v>559.51</v>
      </c>
      <c r="J47" s="60">
        <v>2400.3000000000002</v>
      </c>
      <c r="K47" s="68">
        <v>0</v>
      </c>
      <c r="L47" s="69">
        <f t="shared" si="1"/>
        <v>559.51</v>
      </c>
      <c r="M47" s="273">
        <f t="shared" si="2"/>
        <v>0</v>
      </c>
      <c r="N47" s="71">
        <f t="shared" si="3"/>
        <v>4.29</v>
      </c>
      <c r="O47" s="72">
        <f t="shared" si="4"/>
        <v>559.51</v>
      </c>
      <c r="P47" s="274">
        <f t="shared" si="5"/>
        <v>2400.2979</v>
      </c>
      <c r="Q47" s="291">
        <f t="shared" si="6"/>
        <v>4.3099999999999996</v>
      </c>
    </row>
    <row r="48" spans="2:17" s="170" customFormat="1" ht="12.75" x14ac:dyDescent="0.2">
      <c r="B48" s="165"/>
      <c r="C48" s="252"/>
      <c r="D48" s="253" t="s">
        <v>4</v>
      </c>
      <c r="E48" s="254" t="s">
        <v>115</v>
      </c>
      <c r="F48" s="254" t="s">
        <v>288</v>
      </c>
      <c r="G48" s="252"/>
      <c r="H48" s="252"/>
      <c r="I48" s="255"/>
      <c r="J48" s="256">
        <f>+SUBTOTAL(9,J49:J60)</f>
        <v>89272.8</v>
      </c>
      <c r="K48" s="261"/>
      <c r="L48" s="262"/>
      <c r="M48" s="279">
        <f>SUM(M49:M60)</f>
        <v>-2249.6900000000005</v>
      </c>
      <c r="N48" s="280"/>
      <c r="O48" s="262"/>
      <c r="P48" s="279">
        <f>SUM(P49:P60)</f>
        <v>87023.1</v>
      </c>
      <c r="Q48" s="291">
        <f t="shared" si="6"/>
        <v>0</v>
      </c>
    </row>
    <row r="49" spans="2:17" s="121" customFormat="1" ht="12" x14ac:dyDescent="0.2">
      <c r="B49" s="120"/>
      <c r="C49" s="56" t="s">
        <v>192</v>
      </c>
      <c r="D49" s="56" t="s">
        <v>96</v>
      </c>
      <c r="E49" s="57" t="s">
        <v>568</v>
      </c>
      <c r="F49" s="58" t="s">
        <v>569</v>
      </c>
      <c r="G49" s="59" t="s">
        <v>133</v>
      </c>
      <c r="H49" s="60">
        <v>69</v>
      </c>
      <c r="I49" s="61">
        <v>86.8</v>
      </c>
      <c r="J49" s="60">
        <v>5989.2</v>
      </c>
      <c r="K49" s="68">
        <v>-4.7</v>
      </c>
      <c r="L49" s="69">
        <f t="shared" si="1"/>
        <v>86.8</v>
      </c>
      <c r="M49" s="273">
        <f t="shared" si="2"/>
        <v>-407.96</v>
      </c>
      <c r="N49" s="71">
        <f t="shared" si="3"/>
        <v>64.3</v>
      </c>
      <c r="O49" s="72">
        <f t="shared" si="4"/>
        <v>86.8</v>
      </c>
      <c r="P49" s="274">
        <f t="shared" si="5"/>
        <v>5581.24</v>
      </c>
      <c r="Q49" s="291">
        <f t="shared" si="6"/>
        <v>69.3</v>
      </c>
    </row>
    <row r="50" spans="2:17" s="121" customFormat="1" ht="12" x14ac:dyDescent="0.2">
      <c r="B50" s="120"/>
      <c r="C50" s="73" t="s">
        <v>195</v>
      </c>
      <c r="D50" s="73" t="s">
        <v>209</v>
      </c>
      <c r="E50" s="74" t="s">
        <v>570</v>
      </c>
      <c r="F50" s="75" t="s">
        <v>571</v>
      </c>
      <c r="G50" s="76" t="s">
        <v>133</v>
      </c>
      <c r="H50" s="77">
        <v>69</v>
      </c>
      <c r="I50" s="78">
        <v>351.16</v>
      </c>
      <c r="J50" s="77">
        <v>24230</v>
      </c>
      <c r="K50" s="68">
        <v>-4.7</v>
      </c>
      <c r="L50" s="69">
        <f t="shared" si="1"/>
        <v>351.16</v>
      </c>
      <c r="M50" s="273">
        <f t="shared" si="2"/>
        <v>-1650.4520000000002</v>
      </c>
      <c r="N50" s="71">
        <f t="shared" si="3"/>
        <v>64.3</v>
      </c>
      <c r="O50" s="72">
        <f t="shared" si="4"/>
        <v>351.16</v>
      </c>
      <c r="P50" s="274">
        <f t="shared" si="5"/>
        <v>22579.588</v>
      </c>
      <c r="Q50" s="291">
        <f t="shared" si="6"/>
        <v>69.3</v>
      </c>
    </row>
    <row r="51" spans="2:17" s="121" customFormat="1" ht="12" x14ac:dyDescent="0.2">
      <c r="B51" s="120"/>
      <c r="C51" s="56" t="s">
        <v>198</v>
      </c>
      <c r="D51" s="56" t="s">
        <v>96</v>
      </c>
      <c r="E51" s="57" t="s">
        <v>572</v>
      </c>
      <c r="F51" s="58" t="s">
        <v>573</v>
      </c>
      <c r="G51" s="59" t="s">
        <v>99</v>
      </c>
      <c r="H51" s="60">
        <v>50</v>
      </c>
      <c r="I51" s="61">
        <v>522.14</v>
      </c>
      <c r="J51" s="60">
        <v>26107</v>
      </c>
      <c r="K51" s="68">
        <v>0</v>
      </c>
      <c r="L51" s="69">
        <f t="shared" si="1"/>
        <v>522.14</v>
      </c>
      <c r="M51" s="273">
        <f t="shared" si="2"/>
        <v>0</v>
      </c>
      <c r="N51" s="71">
        <f t="shared" si="3"/>
        <v>50</v>
      </c>
      <c r="O51" s="72">
        <f t="shared" si="4"/>
        <v>522.14</v>
      </c>
      <c r="P51" s="274">
        <f t="shared" si="5"/>
        <v>26107</v>
      </c>
      <c r="Q51" s="291">
        <f t="shared" si="6"/>
        <v>50.22</v>
      </c>
    </row>
    <row r="52" spans="2:17" s="121" customFormat="1" ht="12" x14ac:dyDescent="0.2">
      <c r="B52" s="120"/>
      <c r="C52" s="73" t="s">
        <v>202</v>
      </c>
      <c r="D52" s="73" t="s">
        <v>209</v>
      </c>
      <c r="E52" s="74" t="s">
        <v>574</v>
      </c>
      <c r="F52" s="75" t="s">
        <v>575</v>
      </c>
      <c r="G52" s="76" t="s">
        <v>99</v>
      </c>
      <c r="H52" s="77">
        <v>37</v>
      </c>
      <c r="I52" s="78">
        <v>230.16</v>
      </c>
      <c r="J52" s="77">
        <v>8515.9</v>
      </c>
      <c r="K52" s="68">
        <v>0</v>
      </c>
      <c r="L52" s="69">
        <f t="shared" si="1"/>
        <v>230.16</v>
      </c>
      <c r="M52" s="273">
        <f t="shared" si="2"/>
        <v>0</v>
      </c>
      <c r="N52" s="71">
        <f t="shared" si="3"/>
        <v>37</v>
      </c>
      <c r="O52" s="72">
        <f t="shared" si="4"/>
        <v>230.16</v>
      </c>
      <c r="P52" s="274">
        <f t="shared" si="5"/>
        <v>8515.92</v>
      </c>
      <c r="Q52" s="291">
        <f t="shared" si="6"/>
        <v>37.159999999999997</v>
      </c>
    </row>
    <row r="53" spans="2:17" s="121" customFormat="1" ht="12" x14ac:dyDescent="0.2">
      <c r="B53" s="120"/>
      <c r="C53" s="73" t="s">
        <v>205</v>
      </c>
      <c r="D53" s="73" t="s">
        <v>209</v>
      </c>
      <c r="E53" s="74" t="s">
        <v>576</v>
      </c>
      <c r="F53" s="75" t="s">
        <v>577</v>
      </c>
      <c r="G53" s="76" t="s">
        <v>578</v>
      </c>
      <c r="H53" s="77">
        <v>1</v>
      </c>
      <c r="I53" s="78">
        <v>1624.3</v>
      </c>
      <c r="J53" s="77">
        <v>1624.3</v>
      </c>
      <c r="K53" s="68">
        <v>0</v>
      </c>
      <c r="L53" s="69">
        <f t="shared" si="1"/>
        <v>1624.3</v>
      </c>
      <c r="M53" s="273">
        <f t="shared" si="2"/>
        <v>0</v>
      </c>
      <c r="N53" s="71">
        <f t="shared" si="3"/>
        <v>1</v>
      </c>
      <c r="O53" s="72">
        <f t="shared" si="4"/>
        <v>1624.3</v>
      </c>
      <c r="P53" s="274">
        <f t="shared" si="5"/>
        <v>1624.3</v>
      </c>
      <c r="Q53" s="291">
        <f t="shared" si="6"/>
        <v>1</v>
      </c>
    </row>
    <row r="54" spans="2:17" s="121" customFormat="1" ht="12" x14ac:dyDescent="0.2">
      <c r="B54" s="120"/>
      <c r="C54" s="73" t="s">
        <v>208</v>
      </c>
      <c r="D54" s="73" t="s">
        <v>209</v>
      </c>
      <c r="E54" s="74" t="s">
        <v>579</v>
      </c>
      <c r="F54" s="75" t="s">
        <v>580</v>
      </c>
      <c r="G54" s="76" t="s">
        <v>578</v>
      </c>
      <c r="H54" s="77">
        <v>4</v>
      </c>
      <c r="I54" s="78">
        <v>1624.3</v>
      </c>
      <c r="J54" s="77">
        <v>6497.2</v>
      </c>
      <c r="K54" s="68">
        <v>0</v>
      </c>
      <c r="L54" s="69">
        <f t="shared" si="1"/>
        <v>1624.3</v>
      </c>
      <c r="M54" s="273">
        <f t="shared" si="2"/>
        <v>0</v>
      </c>
      <c r="N54" s="71">
        <f t="shared" si="3"/>
        <v>4</v>
      </c>
      <c r="O54" s="72">
        <f t="shared" si="4"/>
        <v>1624.3</v>
      </c>
      <c r="P54" s="274">
        <f t="shared" si="5"/>
        <v>6497.2</v>
      </c>
      <c r="Q54" s="291">
        <f t="shared" si="6"/>
        <v>4.0199999999999996</v>
      </c>
    </row>
    <row r="55" spans="2:17" s="121" customFormat="1" ht="12" x14ac:dyDescent="0.2">
      <c r="B55" s="120"/>
      <c r="C55" s="73" t="s">
        <v>212</v>
      </c>
      <c r="D55" s="73" t="s">
        <v>209</v>
      </c>
      <c r="E55" s="74" t="s">
        <v>581</v>
      </c>
      <c r="F55" s="75" t="s">
        <v>582</v>
      </c>
      <c r="G55" s="76" t="s">
        <v>578</v>
      </c>
      <c r="H55" s="77">
        <v>4</v>
      </c>
      <c r="I55" s="78">
        <v>1624.3</v>
      </c>
      <c r="J55" s="77">
        <v>6497.2</v>
      </c>
      <c r="K55" s="68">
        <v>0</v>
      </c>
      <c r="L55" s="69">
        <f t="shared" si="1"/>
        <v>1624.3</v>
      </c>
      <c r="M55" s="273">
        <f t="shared" si="2"/>
        <v>0</v>
      </c>
      <c r="N55" s="71">
        <f t="shared" si="3"/>
        <v>4</v>
      </c>
      <c r="O55" s="72">
        <f t="shared" si="4"/>
        <v>1624.3</v>
      </c>
      <c r="P55" s="274">
        <f t="shared" si="5"/>
        <v>6497.2</v>
      </c>
      <c r="Q55" s="291">
        <f t="shared" si="6"/>
        <v>4.0199999999999996</v>
      </c>
    </row>
    <row r="56" spans="2:17" s="121" customFormat="1" ht="12" x14ac:dyDescent="0.2">
      <c r="B56" s="120"/>
      <c r="C56" s="73" t="s">
        <v>215</v>
      </c>
      <c r="D56" s="73" t="s">
        <v>209</v>
      </c>
      <c r="E56" s="74" t="s">
        <v>583</v>
      </c>
      <c r="F56" s="75" t="s">
        <v>584</v>
      </c>
      <c r="G56" s="76" t="s">
        <v>578</v>
      </c>
      <c r="H56" s="77">
        <v>2</v>
      </c>
      <c r="I56" s="78">
        <v>1624.3</v>
      </c>
      <c r="J56" s="77">
        <v>3248.6</v>
      </c>
      <c r="K56" s="68">
        <v>0</v>
      </c>
      <c r="L56" s="69">
        <f t="shared" si="1"/>
        <v>1624.3</v>
      </c>
      <c r="M56" s="273">
        <f t="shared" si="2"/>
        <v>0</v>
      </c>
      <c r="N56" s="71">
        <f t="shared" si="3"/>
        <v>2</v>
      </c>
      <c r="O56" s="72">
        <f t="shared" si="4"/>
        <v>1624.3</v>
      </c>
      <c r="P56" s="274">
        <f t="shared" si="5"/>
        <v>3248.6</v>
      </c>
      <c r="Q56" s="291">
        <f t="shared" si="6"/>
        <v>2.0099999999999998</v>
      </c>
    </row>
    <row r="57" spans="2:17" s="121" customFormat="1" ht="12" x14ac:dyDescent="0.2">
      <c r="B57" s="120"/>
      <c r="C57" s="73" t="s">
        <v>219</v>
      </c>
      <c r="D57" s="73" t="s">
        <v>209</v>
      </c>
      <c r="E57" s="74" t="s">
        <v>585</v>
      </c>
      <c r="F57" s="75" t="s">
        <v>586</v>
      </c>
      <c r="G57" s="76" t="s">
        <v>578</v>
      </c>
      <c r="H57" s="77">
        <v>2</v>
      </c>
      <c r="I57" s="78">
        <v>1624.3</v>
      </c>
      <c r="J57" s="77">
        <v>3248.6</v>
      </c>
      <c r="K57" s="68">
        <v>0</v>
      </c>
      <c r="L57" s="69">
        <f t="shared" si="1"/>
        <v>1624.3</v>
      </c>
      <c r="M57" s="273">
        <f t="shared" si="2"/>
        <v>0</v>
      </c>
      <c r="N57" s="71">
        <f t="shared" si="3"/>
        <v>2</v>
      </c>
      <c r="O57" s="72">
        <f t="shared" si="4"/>
        <v>1624.3</v>
      </c>
      <c r="P57" s="274">
        <f t="shared" si="5"/>
        <v>3248.6</v>
      </c>
      <c r="Q57" s="291">
        <f t="shared" si="6"/>
        <v>2.0099999999999998</v>
      </c>
    </row>
    <row r="58" spans="2:17" s="121" customFormat="1" ht="12" x14ac:dyDescent="0.2">
      <c r="B58" s="120"/>
      <c r="C58" s="56" t="s">
        <v>223</v>
      </c>
      <c r="D58" s="56" t="s">
        <v>96</v>
      </c>
      <c r="E58" s="57" t="s">
        <v>587</v>
      </c>
      <c r="F58" s="58" t="s">
        <v>588</v>
      </c>
      <c r="G58" s="59" t="s">
        <v>133</v>
      </c>
      <c r="H58" s="60">
        <v>69</v>
      </c>
      <c r="I58" s="61">
        <v>19.73</v>
      </c>
      <c r="J58" s="60">
        <v>1361.4</v>
      </c>
      <c r="K58" s="68">
        <v>-4.7</v>
      </c>
      <c r="L58" s="69">
        <f t="shared" si="1"/>
        <v>19.73</v>
      </c>
      <c r="M58" s="273">
        <f t="shared" si="2"/>
        <v>-92.731000000000009</v>
      </c>
      <c r="N58" s="71">
        <f t="shared" si="3"/>
        <v>64.3</v>
      </c>
      <c r="O58" s="72">
        <f t="shared" si="4"/>
        <v>19.73</v>
      </c>
      <c r="P58" s="274">
        <f t="shared" si="5"/>
        <v>1268.6389999999999</v>
      </c>
      <c r="Q58" s="291">
        <f t="shared" si="6"/>
        <v>69.3</v>
      </c>
    </row>
    <row r="59" spans="2:17" s="121" customFormat="1" ht="12" x14ac:dyDescent="0.2">
      <c r="B59" s="120"/>
      <c r="C59" s="56" t="s">
        <v>226</v>
      </c>
      <c r="D59" s="56" t="s">
        <v>96</v>
      </c>
      <c r="E59" s="57" t="s">
        <v>589</v>
      </c>
      <c r="F59" s="58" t="s">
        <v>590</v>
      </c>
      <c r="G59" s="59" t="s">
        <v>99</v>
      </c>
      <c r="H59" s="60">
        <v>1</v>
      </c>
      <c r="I59" s="61">
        <v>1262.6099999999999</v>
      </c>
      <c r="J59" s="60">
        <v>1262.5999999999999</v>
      </c>
      <c r="K59" s="68">
        <v>0</v>
      </c>
      <c r="L59" s="69">
        <f t="shared" si="1"/>
        <v>1262.6099999999999</v>
      </c>
      <c r="M59" s="273">
        <f t="shared" si="2"/>
        <v>0</v>
      </c>
      <c r="N59" s="71">
        <f t="shared" si="3"/>
        <v>1</v>
      </c>
      <c r="O59" s="72">
        <f t="shared" si="4"/>
        <v>1262.6099999999999</v>
      </c>
      <c r="P59" s="274">
        <f t="shared" si="5"/>
        <v>1262.6099999999999</v>
      </c>
      <c r="Q59" s="291">
        <f t="shared" si="6"/>
        <v>1</v>
      </c>
    </row>
    <row r="60" spans="2:17" s="121" customFormat="1" ht="12" x14ac:dyDescent="0.2">
      <c r="B60" s="120"/>
      <c r="C60" s="56" t="s">
        <v>230</v>
      </c>
      <c r="D60" s="56" t="s">
        <v>96</v>
      </c>
      <c r="E60" s="57" t="s">
        <v>383</v>
      </c>
      <c r="F60" s="58" t="s">
        <v>384</v>
      </c>
      <c r="G60" s="59" t="s">
        <v>133</v>
      </c>
      <c r="H60" s="60">
        <v>75</v>
      </c>
      <c r="I60" s="61">
        <v>9.2100000000000009</v>
      </c>
      <c r="J60" s="60">
        <v>690.8</v>
      </c>
      <c r="K60" s="68">
        <v>-10.7</v>
      </c>
      <c r="L60" s="69">
        <f t="shared" si="1"/>
        <v>9.2100000000000009</v>
      </c>
      <c r="M60" s="273">
        <f t="shared" si="2"/>
        <v>-98.546999999999997</v>
      </c>
      <c r="N60" s="71">
        <f t="shared" si="3"/>
        <v>64.3</v>
      </c>
      <c r="O60" s="72">
        <f t="shared" si="4"/>
        <v>9.2100000000000009</v>
      </c>
      <c r="P60" s="274">
        <f t="shared" si="5"/>
        <v>592.20299999999997</v>
      </c>
      <c r="Q60" s="291">
        <f t="shared" si="6"/>
        <v>75.33</v>
      </c>
    </row>
    <row r="61" spans="2:17" s="170" customFormat="1" ht="12.75" x14ac:dyDescent="0.2">
      <c r="B61" s="165"/>
      <c r="C61" s="252"/>
      <c r="D61" s="253" t="s">
        <v>4</v>
      </c>
      <c r="E61" s="254" t="s">
        <v>118</v>
      </c>
      <c r="F61" s="254" t="s">
        <v>558</v>
      </c>
      <c r="G61" s="252"/>
      <c r="H61" s="252"/>
      <c r="I61" s="255"/>
      <c r="J61" s="256">
        <f>+SUBTOTAL(9,J62:J65)</f>
        <v>6861.4</v>
      </c>
      <c r="K61" s="261"/>
      <c r="L61" s="262"/>
      <c r="M61" s="279">
        <f>SUM(M62:M65)</f>
        <v>0</v>
      </c>
      <c r="N61" s="280"/>
      <c r="O61" s="262"/>
      <c r="P61" s="279">
        <f>SUM(P62:P65)</f>
        <v>6861.2820000000002</v>
      </c>
      <c r="Q61" s="291">
        <f t="shared" si="6"/>
        <v>0</v>
      </c>
    </row>
    <row r="62" spans="2:17" s="121" customFormat="1" ht="12" x14ac:dyDescent="0.2">
      <c r="B62" s="120"/>
      <c r="C62" s="56" t="s">
        <v>233</v>
      </c>
      <c r="D62" s="56" t="s">
        <v>96</v>
      </c>
      <c r="E62" s="57" t="s">
        <v>387</v>
      </c>
      <c r="F62" s="58" t="s">
        <v>388</v>
      </c>
      <c r="G62" s="59" t="s">
        <v>133</v>
      </c>
      <c r="H62" s="60">
        <v>7.8</v>
      </c>
      <c r="I62" s="61">
        <v>87.65</v>
      </c>
      <c r="J62" s="60">
        <v>683.7</v>
      </c>
      <c r="K62" s="68">
        <v>0</v>
      </c>
      <c r="L62" s="69">
        <f t="shared" si="1"/>
        <v>87.65</v>
      </c>
      <c r="M62" s="273">
        <f t="shared" si="2"/>
        <v>0</v>
      </c>
      <c r="N62" s="71">
        <f t="shared" si="3"/>
        <v>7.8</v>
      </c>
      <c r="O62" s="72">
        <f t="shared" si="4"/>
        <v>87.65</v>
      </c>
      <c r="P62" s="274">
        <f t="shared" si="5"/>
        <v>683.67000000000007</v>
      </c>
      <c r="Q62" s="291">
        <f t="shared" si="6"/>
        <v>7.83</v>
      </c>
    </row>
    <row r="63" spans="2:17" s="121" customFormat="1" ht="12" x14ac:dyDescent="0.2">
      <c r="B63" s="120"/>
      <c r="C63" s="56" t="s">
        <v>236</v>
      </c>
      <c r="D63" s="56" t="s">
        <v>96</v>
      </c>
      <c r="E63" s="57" t="s">
        <v>390</v>
      </c>
      <c r="F63" s="58" t="s">
        <v>391</v>
      </c>
      <c r="G63" s="59" t="s">
        <v>133</v>
      </c>
      <c r="H63" s="60">
        <v>7.8</v>
      </c>
      <c r="I63" s="61">
        <v>72.34</v>
      </c>
      <c r="J63" s="60">
        <v>564.29999999999995</v>
      </c>
      <c r="K63" s="68">
        <v>0</v>
      </c>
      <c r="L63" s="69">
        <f t="shared" si="1"/>
        <v>72.34</v>
      </c>
      <c r="M63" s="273">
        <f t="shared" si="2"/>
        <v>0</v>
      </c>
      <c r="N63" s="71">
        <f t="shared" si="3"/>
        <v>7.8</v>
      </c>
      <c r="O63" s="72">
        <f t="shared" si="4"/>
        <v>72.34</v>
      </c>
      <c r="P63" s="274">
        <f t="shared" si="5"/>
        <v>564.25200000000007</v>
      </c>
      <c r="Q63" s="291">
        <f t="shared" si="6"/>
        <v>7.83</v>
      </c>
    </row>
    <row r="64" spans="2:17" s="121" customFormat="1" ht="12" x14ac:dyDescent="0.2">
      <c r="B64" s="120"/>
      <c r="C64" s="56" t="s">
        <v>239</v>
      </c>
      <c r="D64" s="56" t="s">
        <v>96</v>
      </c>
      <c r="E64" s="57" t="s">
        <v>393</v>
      </c>
      <c r="F64" s="58" t="s">
        <v>394</v>
      </c>
      <c r="G64" s="59" t="s">
        <v>99</v>
      </c>
      <c r="H64" s="60">
        <v>1</v>
      </c>
      <c r="I64" s="61">
        <v>1148.19</v>
      </c>
      <c r="J64" s="60">
        <v>1148.2</v>
      </c>
      <c r="K64" s="68">
        <v>0</v>
      </c>
      <c r="L64" s="69">
        <f t="shared" si="1"/>
        <v>1148.19</v>
      </c>
      <c r="M64" s="273">
        <f t="shared" si="2"/>
        <v>0</v>
      </c>
      <c r="N64" s="71">
        <f t="shared" si="3"/>
        <v>1</v>
      </c>
      <c r="O64" s="72">
        <f t="shared" si="4"/>
        <v>1148.19</v>
      </c>
      <c r="P64" s="274">
        <f t="shared" si="5"/>
        <v>1148.19</v>
      </c>
      <c r="Q64" s="291">
        <f t="shared" si="6"/>
        <v>1</v>
      </c>
    </row>
    <row r="65" spans="2:17" s="121" customFormat="1" ht="12" x14ac:dyDescent="0.2">
      <c r="B65" s="120"/>
      <c r="C65" s="56" t="s">
        <v>242</v>
      </c>
      <c r="D65" s="56" t="s">
        <v>96</v>
      </c>
      <c r="E65" s="57" t="s">
        <v>396</v>
      </c>
      <c r="F65" s="58" t="s">
        <v>397</v>
      </c>
      <c r="G65" s="59" t="s">
        <v>99</v>
      </c>
      <c r="H65" s="60">
        <v>1</v>
      </c>
      <c r="I65" s="61">
        <v>4465.17</v>
      </c>
      <c r="J65" s="60">
        <v>4465.2</v>
      </c>
      <c r="K65" s="68">
        <v>0</v>
      </c>
      <c r="L65" s="69">
        <f t="shared" si="1"/>
        <v>4465.17</v>
      </c>
      <c r="M65" s="273">
        <f t="shared" si="2"/>
        <v>0</v>
      </c>
      <c r="N65" s="71">
        <f t="shared" si="3"/>
        <v>1</v>
      </c>
      <c r="O65" s="72">
        <f t="shared" si="4"/>
        <v>4465.17</v>
      </c>
      <c r="P65" s="274">
        <f t="shared" si="5"/>
        <v>4465.17</v>
      </c>
      <c r="Q65" s="291">
        <f t="shared" si="6"/>
        <v>1</v>
      </c>
    </row>
    <row r="66" spans="2:17" s="170" customFormat="1" ht="12.75" x14ac:dyDescent="0.2">
      <c r="B66" s="165"/>
      <c r="C66" s="252"/>
      <c r="D66" s="253" t="s">
        <v>4</v>
      </c>
      <c r="E66" s="254" t="s">
        <v>398</v>
      </c>
      <c r="F66" s="254" t="s">
        <v>399</v>
      </c>
      <c r="G66" s="252"/>
      <c r="H66" s="252"/>
      <c r="I66" s="255"/>
      <c r="J66" s="256">
        <f>+SUBTOTAL(9,J67:J69)</f>
        <v>5067.8999999999996</v>
      </c>
      <c r="K66" s="261"/>
      <c r="L66" s="262"/>
      <c r="M66" s="279">
        <f>SUM(M67:M69)</f>
        <v>-327.54829999999998</v>
      </c>
      <c r="N66" s="280"/>
      <c r="O66" s="262"/>
      <c r="P66" s="279">
        <f>SUM(P67:P69)</f>
        <v>4740.3908999999994</v>
      </c>
      <c r="Q66" s="291">
        <f t="shared" si="6"/>
        <v>0</v>
      </c>
    </row>
    <row r="67" spans="2:17" s="121" customFormat="1" ht="12" x14ac:dyDescent="0.2">
      <c r="B67" s="120"/>
      <c r="C67" s="56" t="s">
        <v>245</v>
      </c>
      <c r="D67" s="56" t="s">
        <v>96</v>
      </c>
      <c r="E67" s="57" t="s">
        <v>401</v>
      </c>
      <c r="F67" s="58" t="s">
        <v>402</v>
      </c>
      <c r="G67" s="59" t="s">
        <v>201</v>
      </c>
      <c r="H67" s="60">
        <v>18.84</v>
      </c>
      <c r="I67" s="61">
        <v>102.48</v>
      </c>
      <c r="J67" s="60">
        <v>1930.7</v>
      </c>
      <c r="K67" s="68">
        <f t="shared" ref="K67" si="7">ROUND(64.3/69.3*Q67-Q67,2)</f>
        <v>-1.37</v>
      </c>
      <c r="L67" s="69">
        <f t="shared" si="1"/>
        <v>102.48</v>
      </c>
      <c r="M67" s="273">
        <f t="shared" si="2"/>
        <v>-140.39760000000001</v>
      </c>
      <c r="N67" s="71">
        <f t="shared" si="3"/>
        <v>17.47</v>
      </c>
      <c r="O67" s="72">
        <f t="shared" si="4"/>
        <v>102.48</v>
      </c>
      <c r="P67" s="274">
        <f t="shared" si="5"/>
        <v>1790.3255999999999</v>
      </c>
      <c r="Q67" s="291">
        <f t="shared" si="6"/>
        <v>18.920000000000002</v>
      </c>
    </row>
    <row r="68" spans="2:17" s="121" customFormat="1" ht="12" x14ac:dyDescent="0.2">
      <c r="B68" s="120"/>
      <c r="C68" s="56" t="s">
        <v>248</v>
      </c>
      <c r="D68" s="56" t="s">
        <v>96</v>
      </c>
      <c r="E68" s="57" t="s">
        <v>407</v>
      </c>
      <c r="F68" s="58" t="s">
        <v>408</v>
      </c>
      <c r="G68" s="59" t="s">
        <v>201</v>
      </c>
      <c r="H68" s="60">
        <v>2.15</v>
      </c>
      <c r="I68" s="61">
        <v>257.77999999999997</v>
      </c>
      <c r="J68" s="60">
        <v>554.20000000000005</v>
      </c>
      <c r="K68" s="68">
        <v>0</v>
      </c>
      <c r="L68" s="69">
        <f t="shared" si="1"/>
        <v>257.77999999999997</v>
      </c>
      <c r="M68" s="273">
        <f t="shared" si="2"/>
        <v>0</v>
      </c>
      <c r="N68" s="71">
        <f t="shared" si="3"/>
        <v>2.15</v>
      </c>
      <c r="O68" s="72">
        <f t="shared" si="4"/>
        <v>257.77999999999997</v>
      </c>
      <c r="P68" s="274">
        <f t="shared" si="5"/>
        <v>554.22699999999986</v>
      </c>
      <c r="Q68" s="291">
        <f t="shared" si="6"/>
        <v>2.16</v>
      </c>
    </row>
    <row r="69" spans="2:17" s="121" customFormat="1" ht="12" x14ac:dyDescent="0.2">
      <c r="B69" s="120"/>
      <c r="C69" s="56" t="s">
        <v>251</v>
      </c>
      <c r="D69" s="56" t="s">
        <v>96</v>
      </c>
      <c r="E69" s="57" t="s">
        <v>410</v>
      </c>
      <c r="F69" s="58" t="s">
        <v>411</v>
      </c>
      <c r="G69" s="59" t="s">
        <v>201</v>
      </c>
      <c r="H69" s="60">
        <v>16.7</v>
      </c>
      <c r="I69" s="61">
        <v>154.66999999999999</v>
      </c>
      <c r="J69" s="60">
        <v>2583</v>
      </c>
      <c r="K69" s="68">
        <f t="shared" ref="K69" si="8">ROUND(64.3/69.3*Q69-Q69,2)</f>
        <v>-1.21</v>
      </c>
      <c r="L69" s="69">
        <f t="shared" si="1"/>
        <v>154.66999999999999</v>
      </c>
      <c r="M69" s="273">
        <f t="shared" si="2"/>
        <v>-187.15069999999997</v>
      </c>
      <c r="N69" s="71">
        <f t="shared" si="3"/>
        <v>15.489999999999998</v>
      </c>
      <c r="O69" s="72">
        <f t="shared" si="4"/>
        <v>154.66999999999999</v>
      </c>
      <c r="P69" s="274">
        <f t="shared" si="5"/>
        <v>2395.8382999999994</v>
      </c>
      <c r="Q69" s="291">
        <f t="shared" si="6"/>
        <v>16.77</v>
      </c>
    </row>
    <row r="70" spans="2:17" s="170" customFormat="1" ht="12.75" x14ac:dyDescent="0.2">
      <c r="B70" s="165"/>
      <c r="C70" s="252"/>
      <c r="D70" s="253" t="s">
        <v>4</v>
      </c>
      <c r="E70" s="254" t="s">
        <v>412</v>
      </c>
      <c r="F70" s="254" t="s">
        <v>413</v>
      </c>
      <c r="G70" s="252"/>
      <c r="H70" s="252"/>
      <c r="I70" s="255"/>
      <c r="J70" s="256">
        <f>+SUBTOTAL(9,J71)</f>
        <v>7737.1</v>
      </c>
      <c r="K70" s="261"/>
      <c r="L70" s="262"/>
      <c r="M70" s="279">
        <f>M71</f>
        <v>-560.65800000000002</v>
      </c>
      <c r="N70" s="280"/>
      <c r="O70" s="262"/>
      <c r="P70" s="279">
        <f>P71</f>
        <v>7176.4224000000004</v>
      </c>
      <c r="Q70" s="291">
        <f t="shared" si="6"/>
        <v>0</v>
      </c>
    </row>
    <row r="71" spans="2:17" s="121" customFormat="1" ht="12" x14ac:dyDescent="0.2">
      <c r="B71" s="120"/>
      <c r="C71" s="56" t="s">
        <v>254</v>
      </c>
      <c r="D71" s="56" t="s">
        <v>96</v>
      </c>
      <c r="E71" s="57" t="s">
        <v>591</v>
      </c>
      <c r="F71" s="58" t="s">
        <v>592</v>
      </c>
      <c r="G71" s="59" t="s">
        <v>201</v>
      </c>
      <c r="H71" s="60">
        <v>67.62</v>
      </c>
      <c r="I71" s="61">
        <v>114.42</v>
      </c>
      <c r="J71" s="60">
        <v>7737.1</v>
      </c>
      <c r="K71" s="68">
        <f t="shared" ref="K71" si="9">ROUND(64.3/69.3*Q71-Q71,2)</f>
        <v>-4.9000000000000004</v>
      </c>
      <c r="L71" s="69">
        <f t="shared" si="1"/>
        <v>114.42</v>
      </c>
      <c r="M71" s="273">
        <f t="shared" si="2"/>
        <v>-560.65800000000002</v>
      </c>
      <c r="N71" s="71">
        <f t="shared" si="3"/>
        <v>62.720000000000006</v>
      </c>
      <c r="O71" s="72">
        <f t="shared" si="4"/>
        <v>114.42</v>
      </c>
      <c r="P71" s="274">
        <f t="shared" si="5"/>
        <v>7176.4224000000004</v>
      </c>
      <c r="Q71" s="291">
        <f t="shared" si="6"/>
        <v>67.91</v>
      </c>
    </row>
    <row r="72" spans="2:17" s="170" customFormat="1" ht="15" x14ac:dyDescent="0.2">
      <c r="B72" s="165"/>
      <c r="C72" s="252"/>
      <c r="D72" s="253" t="s">
        <v>4</v>
      </c>
      <c r="E72" s="284" t="s">
        <v>209</v>
      </c>
      <c r="F72" s="284" t="s">
        <v>593</v>
      </c>
      <c r="G72" s="252"/>
      <c r="H72" s="252"/>
      <c r="I72" s="255"/>
      <c r="J72" s="285">
        <f>+SUBTOTAL(9,J73:J75)</f>
        <v>3354</v>
      </c>
      <c r="K72" s="261"/>
      <c r="L72" s="262"/>
      <c r="M72" s="279">
        <f>M73</f>
        <v>-243.27680000000004</v>
      </c>
      <c r="N72" s="280"/>
      <c r="O72" s="262"/>
      <c r="P72" s="279">
        <f>P73</f>
        <v>3110.7232000000004</v>
      </c>
      <c r="Q72" s="291">
        <f t="shared" si="6"/>
        <v>0</v>
      </c>
    </row>
    <row r="73" spans="2:17" s="170" customFormat="1" ht="12.75" x14ac:dyDescent="0.2">
      <c r="B73" s="165"/>
      <c r="C73" s="252"/>
      <c r="D73" s="253" t="s">
        <v>4</v>
      </c>
      <c r="E73" s="254" t="s">
        <v>594</v>
      </c>
      <c r="F73" s="254" t="s">
        <v>595</v>
      </c>
      <c r="G73" s="252"/>
      <c r="H73" s="252"/>
      <c r="I73" s="255"/>
      <c r="J73" s="256">
        <f>+SUBTOTAL(9,J74:J75)</f>
        <v>3354</v>
      </c>
      <c r="K73" s="261"/>
      <c r="L73" s="262"/>
      <c r="M73" s="279">
        <f>SUM(M74:M75)</f>
        <v>-243.27680000000004</v>
      </c>
      <c r="N73" s="280"/>
      <c r="O73" s="262"/>
      <c r="P73" s="279">
        <f>SUM(P74:P75)</f>
        <v>3110.7232000000004</v>
      </c>
      <c r="Q73" s="291">
        <f t="shared" si="6"/>
        <v>0</v>
      </c>
    </row>
    <row r="74" spans="2:17" s="121" customFormat="1" ht="12" x14ac:dyDescent="0.2">
      <c r="B74" s="120"/>
      <c r="C74" s="56" t="s">
        <v>258</v>
      </c>
      <c r="D74" s="56" t="s">
        <v>96</v>
      </c>
      <c r="E74" s="57" t="s">
        <v>596</v>
      </c>
      <c r="F74" s="58" t="s">
        <v>597</v>
      </c>
      <c r="G74" s="59" t="s">
        <v>133</v>
      </c>
      <c r="H74" s="60">
        <v>75</v>
      </c>
      <c r="I74" s="61">
        <v>17.100000000000001</v>
      </c>
      <c r="J74" s="60">
        <v>1282.5</v>
      </c>
      <c r="K74" s="68">
        <f t="shared" ref="K74:K75" si="10">ROUND(64.3/69.3*Q74-Q74,2)</f>
        <v>-5.44</v>
      </c>
      <c r="L74" s="69">
        <f t="shared" si="1"/>
        <v>17.100000000000001</v>
      </c>
      <c r="M74" s="273">
        <f t="shared" si="2"/>
        <v>-93.024000000000015</v>
      </c>
      <c r="N74" s="71">
        <f t="shared" si="3"/>
        <v>69.56</v>
      </c>
      <c r="O74" s="72">
        <f t="shared" si="4"/>
        <v>17.100000000000001</v>
      </c>
      <c r="P74" s="274">
        <f t="shared" si="5"/>
        <v>1189.4760000000001</v>
      </c>
      <c r="Q74" s="291">
        <f t="shared" si="6"/>
        <v>75.33</v>
      </c>
    </row>
    <row r="75" spans="2:17" s="121" customFormat="1" ht="12" x14ac:dyDescent="0.2">
      <c r="B75" s="120"/>
      <c r="C75" s="73" t="s">
        <v>261</v>
      </c>
      <c r="D75" s="73" t="s">
        <v>209</v>
      </c>
      <c r="E75" s="74" t="s">
        <v>598</v>
      </c>
      <c r="F75" s="75" t="s">
        <v>599</v>
      </c>
      <c r="G75" s="76" t="s">
        <v>133</v>
      </c>
      <c r="H75" s="77">
        <v>75</v>
      </c>
      <c r="I75" s="78">
        <v>27.62</v>
      </c>
      <c r="J75" s="77">
        <v>2071.5</v>
      </c>
      <c r="K75" s="68">
        <f t="shared" si="10"/>
        <v>-5.44</v>
      </c>
      <c r="L75" s="69">
        <f t="shared" si="1"/>
        <v>27.62</v>
      </c>
      <c r="M75" s="273">
        <f t="shared" si="2"/>
        <v>-150.25280000000001</v>
      </c>
      <c r="N75" s="71">
        <f t="shared" si="3"/>
        <v>69.56</v>
      </c>
      <c r="O75" s="72">
        <f t="shared" si="4"/>
        <v>27.62</v>
      </c>
      <c r="P75" s="274">
        <f t="shared" si="5"/>
        <v>1921.2472</v>
      </c>
      <c r="Q75" s="291">
        <f t="shared" si="6"/>
        <v>75.33</v>
      </c>
    </row>
    <row r="76" spans="2:17" s="121" customFormat="1" x14ac:dyDescent="0.2">
      <c r="B76" s="120"/>
      <c r="C76" s="120"/>
      <c r="D76" s="120"/>
      <c r="E76" s="120"/>
      <c r="F76" s="120"/>
      <c r="G76" s="120"/>
      <c r="H76" s="120"/>
      <c r="I76" s="153"/>
      <c r="J76" s="120"/>
    </row>
    <row r="77" spans="2:17" ht="12.75" x14ac:dyDescent="0.2">
      <c r="D77" s="42"/>
      <c r="E77" s="43" t="s">
        <v>909</v>
      </c>
      <c r="F77" s="44"/>
      <c r="G77" s="44"/>
      <c r="H77" s="45"/>
      <c r="I77" s="44"/>
      <c r="J77" s="46">
        <f>ROUND(SUBTOTAL(9,J12:J75),2)</f>
        <v>287526.2</v>
      </c>
      <c r="K77" s="49"/>
      <c r="L77" s="46"/>
      <c r="M77" s="281">
        <f>M72+M70+M66+M61+M48+M41+M39+M14</f>
        <v>-15069.082399999999</v>
      </c>
      <c r="N77" s="49"/>
      <c r="O77" s="46"/>
      <c r="P77" s="281">
        <f>P72+P70+P66+P61+P48+P41+P39+P14</f>
        <v>272456.97200000001</v>
      </c>
      <c r="Q77" s="281"/>
    </row>
    <row r="78" spans="2:17" ht="12.75" x14ac:dyDescent="0.2">
      <c r="H78" s="50"/>
      <c r="I78" s="8"/>
      <c r="J78" s="9"/>
    </row>
    <row r="79" spans="2:17" ht="14.25" x14ac:dyDescent="0.2">
      <c r="E79" s="6" t="s">
        <v>849</v>
      </c>
      <c r="F79" s="6"/>
      <c r="G79" s="320" t="s">
        <v>1224</v>
      </c>
      <c r="H79" s="50"/>
      <c r="I79" s="8"/>
      <c r="J79" s="6"/>
      <c r="K79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E9:I10" name="Oblast1_2_1_1"/>
  </protectedRanges>
  <autoFilter ref="C10:P79" xr:uid="{00000000-0001-0000-2200-000000000000}"/>
  <mergeCells count="2">
    <mergeCell ref="K9:M9"/>
    <mergeCell ref="N9:P9"/>
  </mergeCells>
  <conditionalFormatting sqref="G79:I79 L79:P79">
    <cfRule type="cellIs" dxfId="301" priority="4" operator="lessThan">
      <formula>0</formula>
    </cfRule>
  </conditionalFormatting>
  <conditionalFormatting sqref="G79:I79 L79:M79">
    <cfRule type="cellIs" dxfId="300" priority="3" operator="lessThan">
      <formula>0</formula>
    </cfRule>
  </conditionalFormatting>
  <conditionalFormatting sqref="G79:I79">
    <cfRule type="cellIs" dxfId="299" priority="2" operator="lessThan">
      <formula>0</formula>
    </cfRule>
  </conditionalFormatting>
  <conditionalFormatting sqref="G79:I79">
    <cfRule type="cellIs" dxfId="298" priority="1" operator="lessThan">
      <formula>0</formula>
    </cfRule>
  </conditionalFormatting>
  <pageMargins left="0.39370078740157483" right="0.39370078740157483" top="0.39370078740157483" bottom="0.39370078740157483" header="0.19" footer="0"/>
  <pageSetup paperSize="9" scale="62" fitToHeight="0" orientation="landscape" r:id="rId1"/>
  <headerFooter>
    <oddFooter>&amp;CStrana &amp;P z &amp;N</oddFooter>
  </headerFooter>
  <rowBreaks count="1" manualBreakCount="1">
    <brk id="65" min="1" max="15" man="1"/>
  </rowBreaks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FF0000"/>
    <pageSetUpPr fitToPage="1"/>
  </sheetPr>
  <dimension ref="B1:T33"/>
  <sheetViews>
    <sheetView showGridLines="0" view="pageBreakPreview" topLeftCell="A3" zoomScaleNormal="100" zoomScaleSheetLayoutView="100" workbookViewId="0">
      <selection activeCell="O15" sqref="O15:O29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15" style="8" customWidth="1"/>
    <col min="12" max="12" width="21.5" style="8" customWidth="1"/>
    <col min="13" max="13" width="13.83203125" style="8" bestFit="1" customWidth="1"/>
    <col min="14" max="14" width="9.33203125" style="8"/>
    <col min="15" max="15" width="15.5" style="8" bestFit="1" customWidth="1"/>
    <col min="16" max="16" width="13.83203125" style="8" bestFit="1" customWidth="1"/>
    <col min="17" max="17" width="36.5" style="8" hidden="1" customWidth="1"/>
    <col min="18" max="18" width="0" style="8" hidden="1" customWidth="1"/>
    <col min="19" max="16384" width="9.33203125" style="8"/>
  </cols>
  <sheetData>
    <row r="1" spans="2:20" ht="18.95" customHeight="1" x14ac:dyDescent="0.2">
      <c r="F1" s="11"/>
      <c r="G1" s="89"/>
      <c r="H1" s="88"/>
      <c r="I1" s="8"/>
      <c r="J1" s="9"/>
    </row>
    <row r="2" spans="2:20" s="88" customFormat="1" ht="18" customHeight="1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20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20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20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20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20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20" s="14" customFormat="1" ht="18" customHeight="1" x14ac:dyDescent="0.2">
      <c r="D8" s="146"/>
      <c r="F8" s="11"/>
      <c r="G8" s="105"/>
      <c r="H8" s="145"/>
      <c r="K8" s="149" t="s">
        <v>851</v>
      </c>
      <c r="L8" s="180" t="str">
        <f>+C12</f>
        <v>SO 03.3 - ČSe - přípojka nn</v>
      </c>
      <c r="M8" s="180"/>
      <c r="O8" s="151"/>
    </row>
    <row r="9" spans="2:20" s="15" customFormat="1" ht="20.100000000000001" customHeight="1" x14ac:dyDescent="0.2">
      <c r="C9" s="174"/>
      <c r="D9" s="176"/>
      <c r="E9" s="176"/>
      <c r="F9" s="176"/>
      <c r="G9" s="176"/>
      <c r="H9" s="176"/>
      <c r="I9" s="177"/>
      <c r="J9" s="178"/>
      <c r="K9" s="339" t="s">
        <v>844</v>
      </c>
      <c r="L9" s="339"/>
      <c r="M9" s="340"/>
      <c r="N9" s="341" t="s">
        <v>845</v>
      </c>
      <c r="O9" s="341"/>
      <c r="P9" s="342"/>
    </row>
    <row r="10" spans="2:20" s="15" customFormat="1" ht="24" customHeight="1" x14ac:dyDescent="0.2">
      <c r="C10" s="16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5" t="s">
        <v>874</v>
      </c>
      <c r="L10" s="26" t="s">
        <v>847</v>
      </c>
      <c r="M10" s="26" t="s">
        <v>915</v>
      </c>
      <c r="N10" s="27" t="s">
        <v>874</v>
      </c>
      <c r="O10" s="28" t="s">
        <v>847</v>
      </c>
      <c r="P10" s="55" t="s">
        <v>915</v>
      </c>
      <c r="Q10" s="189" t="s">
        <v>1199</v>
      </c>
    </row>
    <row r="11" spans="2:20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20" s="121" customFormat="1" ht="22.9" customHeight="1" x14ac:dyDescent="0.25">
      <c r="B12" s="120"/>
      <c r="C12" s="152" t="s">
        <v>600</v>
      </c>
      <c r="D12" s="120"/>
      <c r="E12" s="120"/>
      <c r="F12" s="120"/>
      <c r="G12" s="120"/>
      <c r="H12" s="120"/>
      <c r="I12" s="153"/>
      <c r="J12" s="154">
        <f>+SUBTOTAL(9,J13:J29)</f>
        <v>88026.1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 t="shared" ref="N12:N14" si="0">IF(ISBLANK(H12),"",H12-K12)</f>
        <v/>
      </c>
      <c r="O12" s="164" t="str">
        <f>IF(ISBLANK(H12),"",J12-L12)</f>
        <v/>
      </c>
      <c r="Q12" s="334" t="s">
        <v>1200</v>
      </c>
    </row>
    <row r="13" spans="2:20" s="170" customFormat="1" ht="25.9" customHeight="1" x14ac:dyDescent="0.2">
      <c r="B13" s="165"/>
      <c r="C13" s="165"/>
      <c r="D13" s="166" t="s">
        <v>4</v>
      </c>
      <c r="E13" s="167" t="s">
        <v>209</v>
      </c>
      <c r="F13" s="167" t="s">
        <v>593</v>
      </c>
      <c r="G13" s="165"/>
      <c r="H13" s="165"/>
      <c r="I13" s="168"/>
      <c r="J13" s="169">
        <f>+SUBTOTAL(9,J14:J29)</f>
        <v>88026.1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 t="shared" si="0"/>
        <v/>
      </c>
      <c r="O13" s="164" t="str">
        <f>IF(ISBLANK(H13),"",J13-L13)</f>
        <v/>
      </c>
      <c r="Q13" s="334"/>
      <c r="R13" s="170" t="s">
        <v>1202</v>
      </c>
    </row>
    <row r="14" spans="2:20" s="170" customFormat="1" ht="22.9" customHeight="1" x14ac:dyDescent="0.2">
      <c r="B14" s="165"/>
      <c r="C14" s="165"/>
      <c r="D14" s="166" t="s">
        <v>4</v>
      </c>
      <c r="E14" s="171" t="s">
        <v>594</v>
      </c>
      <c r="F14" s="171" t="s">
        <v>595</v>
      </c>
      <c r="G14" s="165"/>
      <c r="H14" s="165"/>
      <c r="I14" s="168"/>
      <c r="J14" s="172">
        <f>+SUBTOTAL(9,J15:J29)</f>
        <v>88026.1</v>
      </c>
      <c r="K14" s="161" t="str">
        <f>IF(ISBLANK(H14),"",SUM(#REF!+#REF!+#REF!+#REF!+#REF!+#REF!+#REF!+#REF!+#REF!+#REF!+#REF!+#REF!+#REF!+#REF!+#REF!,#REF!,#REF!,#REF!+#REF!,#REF!,#REF!,#REF!,#REF!,#REF!))</f>
        <v/>
      </c>
      <c r="L14" s="162" t="str">
        <f>IF(ISBLANK(H14),"",SUM(#REF!+#REF!+#REF!+#REF!+#REF!+#REF!+#REF!+#REF!+#REF!+#REF!+#REF!+#REF!+#REF!+#REF!,#REF!,#REF!,#REF!,#REF!,#REF!,#REF!,#REF!,#REF!,#REF!))</f>
        <v/>
      </c>
      <c r="M14" s="162"/>
      <c r="N14" s="163" t="str">
        <f t="shared" si="0"/>
        <v/>
      </c>
      <c r="O14" s="164" t="str">
        <f>IF(ISBLANK(H14),"",J14-L14)</f>
        <v/>
      </c>
      <c r="Q14" s="334"/>
    </row>
    <row r="15" spans="2:20" s="121" customFormat="1" ht="16.5" customHeight="1" x14ac:dyDescent="0.2">
      <c r="B15" s="120"/>
      <c r="C15" s="56" t="s">
        <v>7</v>
      </c>
      <c r="D15" s="56" t="s">
        <v>96</v>
      </c>
      <c r="E15" s="57" t="s">
        <v>601</v>
      </c>
      <c r="F15" s="58" t="s">
        <v>602</v>
      </c>
      <c r="G15" s="59" t="s">
        <v>133</v>
      </c>
      <c r="H15" s="60">
        <v>23</v>
      </c>
      <c r="I15" s="61">
        <v>295.14</v>
      </c>
      <c r="J15" s="60">
        <v>6788.2</v>
      </c>
      <c r="K15" s="68">
        <v>-1.8000000000000007</v>
      </c>
      <c r="L15" s="69">
        <f>K15*I15</f>
        <v>-531.25200000000018</v>
      </c>
      <c r="M15" s="70">
        <f>IFERROR(IF($J15=0,0,L15/$J15),"")</f>
        <v>-7.8261100144368198E-2</v>
      </c>
      <c r="N15" s="71">
        <f>H15+K15</f>
        <v>21.2</v>
      </c>
      <c r="O15" s="72">
        <f>N15*I15</f>
        <v>6256.9679999999998</v>
      </c>
      <c r="P15" s="179">
        <f>IFERROR(IF($J15=0,0,O15/$J15),"")</f>
        <v>0.92174184614478061</v>
      </c>
      <c r="T15" s="194"/>
    </row>
    <row r="16" spans="2:20" s="121" customFormat="1" ht="16.5" customHeight="1" x14ac:dyDescent="0.2">
      <c r="B16" s="120"/>
      <c r="C16" s="56" t="s">
        <v>8</v>
      </c>
      <c r="D16" s="56" t="s">
        <v>96</v>
      </c>
      <c r="E16" s="57" t="s">
        <v>603</v>
      </c>
      <c r="F16" s="58" t="s">
        <v>604</v>
      </c>
      <c r="G16" s="59" t="s">
        <v>133</v>
      </c>
      <c r="H16" s="60">
        <v>25</v>
      </c>
      <c r="I16" s="61">
        <v>126.05</v>
      </c>
      <c r="J16" s="60">
        <v>3151.3</v>
      </c>
      <c r="K16" s="68">
        <v>-1.96</v>
      </c>
      <c r="L16" s="69">
        <f t="shared" ref="L16:L29" si="1">K16*I16</f>
        <v>-247.05799999999999</v>
      </c>
      <c r="M16" s="70">
        <f t="shared" ref="M16:M29" si="2">IFERROR(IF($J16=0,0,L16/$J16),"")</f>
        <v>-7.8398756068923936E-2</v>
      </c>
      <c r="N16" s="71">
        <f t="shared" ref="N16:N29" si="3">H16+K16</f>
        <v>23.04</v>
      </c>
      <c r="O16" s="72">
        <f t="shared" ref="O16:O29" si="4">N16*I16</f>
        <v>2904.192</v>
      </c>
      <c r="P16" s="179">
        <f t="shared" ref="P16:P29" si="5">IFERROR(IF($J16=0,0,O16/$J16),"")</f>
        <v>0.92158537746326907</v>
      </c>
      <c r="T16" s="194"/>
    </row>
    <row r="17" spans="2:20" s="121" customFormat="1" ht="16.5" customHeight="1" x14ac:dyDescent="0.2">
      <c r="B17" s="120"/>
      <c r="C17" s="56" t="s">
        <v>13</v>
      </c>
      <c r="D17" s="56" t="s">
        <v>96</v>
      </c>
      <c r="E17" s="57" t="s">
        <v>605</v>
      </c>
      <c r="F17" s="58" t="s">
        <v>606</v>
      </c>
      <c r="G17" s="59" t="s">
        <v>133</v>
      </c>
      <c r="H17" s="60">
        <v>23</v>
      </c>
      <c r="I17" s="61">
        <v>85.36</v>
      </c>
      <c r="J17" s="60">
        <v>1963.3</v>
      </c>
      <c r="K17" s="68">
        <v>-1.8000000000000007</v>
      </c>
      <c r="L17" s="69">
        <f t="shared" si="1"/>
        <v>-153.64800000000005</v>
      </c>
      <c r="M17" s="70">
        <f t="shared" si="2"/>
        <v>-7.8260072327204222E-2</v>
      </c>
      <c r="N17" s="71">
        <f t="shared" si="3"/>
        <v>21.2</v>
      </c>
      <c r="O17" s="72">
        <f t="shared" si="4"/>
        <v>1809.6319999999998</v>
      </c>
      <c r="P17" s="179">
        <f t="shared" si="5"/>
        <v>0.92172974074262715</v>
      </c>
      <c r="T17" s="194"/>
    </row>
    <row r="18" spans="2:20" s="121" customFormat="1" ht="16.5" customHeight="1" x14ac:dyDescent="0.2">
      <c r="B18" s="120"/>
      <c r="C18" s="56" t="s">
        <v>100</v>
      </c>
      <c r="D18" s="56" t="s">
        <v>96</v>
      </c>
      <c r="E18" s="57" t="s">
        <v>607</v>
      </c>
      <c r="F18" s="58" t="s">
        <v>608</v>
      </c>
      <c r="G18" s="59" t="s">
        <v>133</v>
      </c>
      <c r="H18" s="60">
        <v>20</v>
      </c>
      <c r="I18" s="61">
        <v>78.91</v>
      </c>
      <c r="J18" s="60">
        <v>1578.2</v>
      </c>
      <c r="K18" s="68">
        <v>-1.57</v>
      </c>
      <c r="L18" s="69">
        <f t="shared" si="1"/>
        <v>-123.8887</v>
      </c>
      <c r="M18" s="70">
        <f t="shared" si="2"/>
        <v>-7.85E-2</v>
      </c>
      <c r="N18" s="71">
        <f t="shared" si="3"/>
        <v>18.43</v>
      </c>
      <c r="O18" s="72">
        <f t="shared" si="4"/>
        <v>1454.3112999999998</v>
      </c>
      <c r="P18" s="179">
        <f t="shared" si="5"/>
        <v>0.92149999999999987</v>
      </c>
      <c r="T18" s="194"/>
    </row>
    <row r="19" spans="2:20" s="121" customFormat="1" ht="16.5" customHeight="1" x14ac:dyDescent="0.2">
      <c r="B19" s="120"/>
      <c r="C19" s="56" t="s">
        <v>105</v>
      </c>
      <c r="D19" s="56" t="s">
        <v>96</v>
      </c>
      <c r="E19" s="57" t="s">
        <v>609</v>
      </c>
      <c r="F19" s="58" t="s">
        <v>610</v>
      </c>
      <c r="G19" s="59" t="s">
        <v>133</v>
      </c>
      <c r="H19" s="60">
        <v>23</v>
      </c>
      <c r="I19" s="61">
        <v>13.15</v>
      </c>
      <c r="J19" s="60">
        <v>302.5</v>
      </c>
      <c r="K19" s="68">
        <v>-1.8000000000000007</v>
      </c>
      <c r="L19" s="69">
        <f t="shared" si="1"/>
        <v>-23.670000000000009</v>
      </c>
      <c r="M19" s="70">
        <f t="shared" si="2"/>
        <v>-7.8247933884297544E-2</v>
      </c>
      <c r="N19" s="71">
        <f t="shared" si="3"/>
        <v>21.2</v>
      </c>
      <c r="O19" s="72">
        <f t="shared" si="4"/>
        <v>278.77999999999997</v>
      </c>
      <c r="P19" s="179">
        <f t="shared" si="5"/>
        <v>0.92158677685950408</v>
      </c>
      <c r="T19" s="194"/>
    </row>
    <row r="20" spans="2:20" s="121" customFormat="1" ht="16.5" customHeight="1" x14ac:dyDescent="0.2">
      <c r="B20" s="120"/>
      <c r="C20" s="56" t="s">
        <v>109</v>
      </c>
      <c r="D20" s="56" t="s">
        <v>96</v>
      </c>
      <c r="E20" s="57" t="s">
        <v>611</v>
      </c>
      <c r="F20" s="58" t="s">
        <v>612</v>
      </c>
      <c r="G20" s="59" t="s">
        <v>99</v>
      </c>
      <c r="H20" s="60">
        <v>1</v>
      </c>
      <c r="I20" s="61">
        <v>61815.31</v>
      </c>
      <c r="J20" s="60">
        <v>61815.3</v>
      </c>
      <c r="K20" s="68">
        <v>0</v>
      </c>
      <c r="L20" s="69">
        <f t="shared" si="1"/>
        <v>0</v>
      </c>
      <c r="M20" s="70">
        <f t="shared" si="2"/>
        <v>0</v>
      </c>
      <c r="N20" s="71">
        <f t="shared" si="3"/>
        <v>1</v>
      </c>
      <c r="O20" s="72">
        <f t="shared" si="4"/>
        <v>61815.31</v>
      </c>
      <c r="P20" s="179">
        <f t="shared" si="5"/>
        <v>1.0000001617722472</v>
      </c>
      <c r="T20" s="194"/>
    </row>
    <row r="21" spans="2:20" s="121" customFormat="1" ht="16.5" customHeight="1" x14ac:dyDescent="0.2">
      <c r="B21" s="120"/>
      <c r="C21" s="56" t="s">
        <v>112</v>
      </c>
      <c r="D21" s="56" t="s">
        <v>96</v>
      </c>
      <c r="E21" s="57" t="s">
        <v>613</v>
      </c>
      <c r="F21" s="58" t="s">
        <v>614</v>
      </c>
      <c r="G21" s="59" t="s">
        <v>99</v>
      </c>
      <c r="H21" s="60">
        <v>1</v>
      </c>
      <c r="I21" s="61">
        <v>5709.37</v>
      </c>
      <c r="J21" s="60">
        <v>5709.4</v>
      </c>
      <c r="K21" s="68">
        <v>0</v>
      </c>
      <c r="L21" s="69">
        <f t="shared" si="1"/>
        <v>0</v>
      </c>
      <c r="M21" s="70">
        <f t="shared" si="2"/>
        <v>0</v>
      </c>
      <c r="N21" s="71">
        <f t="shared" si="3"/>
        <v>1</v>
      </c>
      <c r="O21" s="72">
        <f t="shared" si="4"/>
        <v>5709.37</v>
      </c>
      <c r="P21" s="179">
        <f t="shared" si="5"/>
        <v>0.99999474550740886</v>
      </c>
      <c r="T21" s="194"/>
    </row>
    <row r="22" spans="2:20" s="121" customFormat="1" ht="16.5" customHeight="1" x14ac:dyDescent="0.2">
      <c r="B22" s="120"/>
      <c r="C22" s="73" t="s">
        <v>115</v>
      </c>
      <c r="D22" s="73" t="s">
        <v>209</v>
      </c>
      <c r="E22" s="74" t="s">
        <v>576</v>
      </c>
      <c r="F22" s="75" t="s">
        <v>615</v>
      </c>
      <c r="G22" s="76" t="s">
        <v>99</v>
      </c>
      <c r="H22" s="77">
        <v>3</v>
      </c>
      <c r="I22" s="78">
        <v>117.05</v>
      </c>
      <c r="J22" s="77">
        <v>351.2</v>
      </c>
      <c r="K22" s="68">
        <v>0</v>
      </c>
      <c r="L22" s="69">
        <f t="shared" si="1"/>
        <v>0</v>
      </c>
      <c r="M22" s="70">
        <f t="shared" si="2"/>
        <v>0</v>
      </c>
      <c r="N22" s="71">
        <f t="shared" si="3"/>
        <v>3</v>
      </c>
      <c r="O22" s="72">
        <f t="shared" si="4"/>
        <v>351.15</v>
      </c>
      <c r="P22" s="179">
        <f t="shared" si="5"/>
        <v>0.99985763097949887</v>
      </c>
      <c r="T22" s="194"/>
    </row>
    <row r="23" spans="2:20" s="121" customFormat="1" ht="16.5" customHeight="1" x14ac:dyDescent="0.2">
      <c r="B23" s="120"/>
      <c r="C23" s="73" t="s">
        <v>118</v>
      </c>
      <c r="D23" s="73" t="s">
        <v>209</v>
      </c>
      <c r="E23" s="74" t="s">
        <v>579</v>
      </c>
      <c r="F23" s="75" t="s">
        <v>616</v>
      </c>
      <c r="G23" s="76" t="s">
        <v>99</v>
      </c>
      <c r="H23" s="77">
        <v>1</v>
      </c>
      <c r="I23" s="78">
        <v>23.54</v>
      </c>
      <c r="J23" s="77">
        <v>23.5</v>
      </c>
      <c r="K23" s="68">
        <v>0</v>
      </c>
      <c r="L23" s="69">
        <f t="shared" si="1"/>
        <v>0</v>
      </c>
      <c r="M23" s="70">
        <f t="shared" si="2"/>
        <v>0</v>
      </c>
      <c r="N23" s="71">
        <f t="shared" si="3"/>
        <v>1</v>
      </c>
      <c r="O23" s="72">
        <f t="shared" si="4"/>
        <v>23.54</v>
      </c>
      <c r="P23" s="179">
        <f t="shared" si="5"/>
        <v>1.0017021276595743</v>
      </c>
      <c r="T23" s="194"/>
    </row>
    <row r="24" spans="2:20" s="121" customFormat="1" ht="16.5" customHeight="1" x14ac:dyDescent="0.2">
      <c r="B24" s="120"/>
      <c r="C24" s="73" t="s">
        <v>121</v>
      </c>
      <c r="D24" s="73" t="s">
        <v>209</v>
      </c>
      <c r="E24" s="74" t="s">
        <v>581</v>
      </c>
      <c r="F24" s="75" t="s">
        <v>617</v>
      </c>
      <c r="G24" s="76" t="s">
        <v>99</v>
      </c>
      <c r="H24" s="77">
        <v>1</v>
      </c>
      <c r="I24" s="78">
        <v>424.82</v>
      </c>
      <c r="J24" s="77">
        <v>424.8</v>
      </c>
      <c r="K24" s="68">
        <v>0</v>
      </c>
      <c r="L24" s="69">
        <f t="shared" si="1"/>
        <v>0</v>
      </c>
      <c r="M24" s="70">
        <f t="shared" si="2"/>
        <v>0</v>
      </c>
      <c r="N24" s="71">
        <f t="shared" si="3"/>
        <v>1</v>
      </c>
      <c r="O24" s="72">
        <f t="shared" si="4"/>
        <v>424.82</v>
      </c>
      <c r="P24" s="179">
        <f t="shared" si="5"/>
        <v>1.0000470809792843</v>
      </c>
      <c r="T24" s="194"/>
    </row>
    <row r="25" spans="2:20" s="121" customFormat="1" ht="16.5" customHeight="1" x14ac:dyDescent="0.2">
      <c r="B25" s="120"/>
      <c r="C25" s="73" t="s">
        <v>124</v>
      </c>
      <c r="D25" s="73" t="s">
        <v>209</v>
      </c>
      <c r="E25" s="74" t="s">
        <v>583</v>
      </c>
      <c r="F25" s="75" t="s">
        <v>618</v>
      </c>
      <c r="G25" s="76" t="s">
        <v>99</v>
      </c>
      <c r="H25" s="77">
        <v>1</v>
      </c>
      <c r="I25" s="78">
        <v>328.8</v>
      </c>
      <c r="J25" s="77">
        <v>328.8</v>
      </c>
      <c r="K25" s="68">
        <v>0</v>
      </c>
      <c r="L25" s="69">
        <f t="shared" si="1"/>
        <v>0</v>
      </c>
      <c r="M25" s="70">
        <f t="shared" si="2"/>
        <v>0</v>
      </c>
      <c r="N25" s="71">
        <f t="shared" si="3"/>
        <v>1</v>
      </c>
      <c r="O25" s="72">
        <f t="shared" si="4"/>
        <v>328.8</v>
      </c>
      <c r="P25" s="179">
        <f t="shared" si="5"/>
        <v>1</v>
      </c>
      <c r="T25" s="194"/>
    </row>
    <row r="26" spans="2:20" s="121" customFormat="1" ht="16.5" customHeight="1" x14ac:dyDescent="0.2">
      <c r="B26" s="120"/>
      <c r="C26" s="73" t="s">
        <v>127</v>
      </c>
      <c r="D26" s="73" t="s">
        <v>209</v>
      </c>
      <c r="E26" s="74" t="s">
        <v>585</v>
      </c>
      <c r="F26" s="75" t="s">
        <v>619</v>
      </c>
      <c r="G26" s="76" t="s">
        <v>620</v>
      </c>
      <c r="H26" s="77">
        <v>1</v>
      </c>
      <c r="I26" s="78">
        <v>328.8</v>
      </c>
      <c r="J26" s="77">
        <v>328.8</v>
      </c>
      <c r="K26" s="68">
        <v>0</v>
      </c>
      <c r="L26" s="69">
        <f t="shared" si="1"/>
        <v>0</v>
      </c>
      <c r="M26" s="70">
        <f t="shared" si="2"/>
        <v>0</v>
      </c>
      <c r="N26" s="71">
        <f t="shared" si="3"/>
        <v>1</v>
      </c>
      <c r="O26" s="72">
        <f t="shared" si="4"/>
        <v>328.8</v>
      </c>
      <c r="P26" s="179">
        <f t="shared" si="5"/>
        <v>1</v>
      </c>
      <c r="T26" s="194"/>
    </row>
    <row r="27" spans="2:20" s="121" customFormat="1" ht="16.5" customHeight="1" x14ac:dyDescent="0.2">
      <c r="B27" s="120"/>
      <c r="C27" s="56" t="s">
        <v>130</v>
      </c>
      <c r="D27" s="56" t="s">
        <v>96</v>
      </c>
      <c r="E27" s="57" t="s">
        <v>621</v>
      </c>
      <c r="F27" s="58" t="s">
        <v>622</v>
      </c>
      <c r="G27" s="59" t="s">
        <v>99</v>
      </c>
      <c r="H27" s="60">
        <v>1</v>
      </c>
      <c r="I27" s="61">
        <v>657.61</v>
      </c>
      <c r="J27" s="60">
        <v>657.6</v>
      </c>
      <c r="K27" s="68">
        <v>0</v>
      </c>
      <c r="L27" s="69">
        <f t="shared" si="1"/>
        <v>0</v>
      </c>
      <c r="M27" s="70">
        <f t="shared" si="2"/>
        <v>0</v>
      </c>
      <c r="N27" s="71">
        <f t="shared" si="3"/>
        <v>1</v>
      </c>
      <c r="O27" s="72">
        <f t="shared" si="4"/>
        <v>657.61</v>
      </c>
      <c r="P27" s="179">
        <f t="shared" si="5"/>
        <v>1.000015206812652</v>
      </c>
      <c r="T27" s="194"/>
    </row>
    <row r="28" spans="2:20" s="121" customFormat="1" ht="16.5" customHeight="1" x14ac:dyDescent="0.2">
      <c r="B28" s="120"/>
      <c r="C28" s="56" t="s">
        <v>134</v>
      </c>
      <c r="D28" s="56" t="s">
        <v>96</v>
      </c>
      <c r="E28" s="57" t="s">
        <v>623</v>
      </c>
      <c r="F28" s="58" t="s">
        <v>624</v>
      </c>
      <c r="G28" s="59" t="s">
        <v>99</v>
      </c>
      <c r="H28" s="60">
        <v>1</v>
      </c>
      <c r="I28" s="61">
        <v>2630.44</v>
      </c>
      <c r="J28" s="60">
        <v>2630.4</v>
      </c>
      <c r="K28" s="68">
        <v>0</v>
      </c>
      <c r="L28" s="69">
        <f t="shared" si="1"/>
        <v>0</v>
      </c>
      <c r="M28" s="70">
        <f t="shared" si="2"/>
        <v>0</v>
      </c>
      <c r="N28" s="71">
        <f t="shared" si="3"/>
        <v>1</v>
      </c>
      <c r="O28" s="72">
        <f t="shared" si="4"/>
        <v>2630.44</v>
      </c>
      <c r="P28" s="179">
        <f t="shared" si="5"/>
        <v>1.000015206812652</v>
      </c>
      <c r="T28" s="194"/>
    </row>
    <row r="29" spans="2:20" s="121" customFormat="1" ht="16.5" customHeight="1" x14ac:dyDescent="0.2">
      <c r="B29" s="120"/>
      <c r="C29" s="56" t="s">
        <v>2</v>
      </c>
      <c r="D29" s="56" t="s">
        <v>96</v>
      </c>
      <c r="E29" s="57" t="s">
        <v>625</v>
      </c>
      <c r="F29" s="58" t="s">
        <v>626</v>
      </c>
      <c r="G29" s="59" t="s">
        <v>99</v>
      </c>
      <c r="H29" s="60">
        <v>1</v>
      </c>
      <c r="I29" s="61">
        <v>1972.83</v>
      </c>
      <c r="J29" s="60">
        <v>1972.8</v>
      </c>
      <c r="K29" s="68">
        <v>0</v>
      </c>
      <c r="L29" s="69">
        <f t="shared" si="1"/>
        <v>0</v>
      </c>
      <c r="M29" s="70">
        <f t="shared" si="2"/>
        <v>0</v>
      </c>
      <c r="N29" s="71">
        <f t="shared" si="3"/>
        <v>1</v>
      </c>
      <c r="O29" s="72">
        <f t="shared" si="4"/>
        <v>1972.83</v>
      </c>
      <c r="P29" s="179">
        <f t="shared" si="5"/>
        <v>1.000015206812652</v>
      </c>
      <c r="T29" s="194"/>
    </row>
    <row r="30" spans="2:20" s="121" customFormat="1" ht="6.95" customHeight="1" x14ac:dyDescent="0.2">
      <c r="B30" s="120"/>
      <c r="C30" s="120"/>
      <c r="D30" s="120"/>
      <c r="E30" s="120"/>
      <c r="F30" s="120"/>
      <c r="G30" s="120"/>
      <c r="H30" s="120"/>
      <c r="I30" s="153"/>
      <c r="J30" s="120"/>
    </row>
    <row r="31" spans="2:20" ht="18" customHeight="1" x14ac:dyDescent="0.2">
      <c r="D31" s="42"/>
      <c r="E31" s="43" t="s">
        <v>910</v>
      </c>
      <c r="F31" s="44"/>
      <c r="G31" s="44"/>
      <c r="H31" s="45"/>
      <c r="I31" s="44"/>
      <c r="J31" s="46">
        <f>ROUND(SUBTOTAL(9,J12:J29),2)</f>
        <v>88026.1</v>
      </c>
      <c r="K31" s="49"/>
      <c r="L31" s="281">
        <f>SUM(L15:L30)</f>
        <v>-1079.5167000000004</v>
      </c>
      <c r="M31" s="46">
        <v>0</v>
      </c>
      <c r="N31" s="49"/>
      <c r="O31" s="281">
        <f>SUM(O15:O30)</f>
        <v>86946.5533</v>
      </c>
      <c r="P31" s="286"/>
    </row>
    <row r="32" spans="2:20" ht="12.75" x14ac:dyDescent="0.2">
      <c r="H32" s="50"/>
      <c r="I32" s="8"/>
      <c r="J32" s="9"/>
    </row>
    <row r="33" spans="5:11" ht="14.25" x14ac:dyDescent="0.2">
      <c r="E33" s="6" t="s">
        <v>849</v>
      </c>
      <c r="F33" s="6"/>
      <c r="G33" s="320" t="s">
        <v>1224</v>
      </c>
      <c r="H33" s="50"/>
      <c r="I33" s="8"/>
      <c r="J33" s="6"/>
      <c r="K33" s="6" t="s">
        <v>848</v>
      </c>
    </row>
  </sheetData>
  <sheetProtection formatColumns="0" formatRows="0" autoFilter="0"/>
  <protectedRanges>
    <protectedRange password="CCAA" sqref="K8" name="Oblast1_1_1"/>
    <protectedRange password="CCAA" sqref="D9:H11" name="Oblast1_2"/>
  </protectedRanges>
  <autoFilter ref="C10:P33" xr:uid="{00000000-0001-0000-2300-000000000000}"/>
  <mergeCells count="3">
    <mergeCell ref="K9:M9"/>
    <mergeCell ref="N9:P9"/>
    <mergeCell ref="Q12:Q14"/>
  </mergeCells>
  <conditionalFormatting sqref="G33:I33 L33:P33">
    <cfRule type="cellIs" dxfId="297" priority="4" operator="lessThan">
      <formula>0</formula>
    </cfRule>
  </conditionalFormatting>
  <conditionalFormatting sqref="G33:I33 L33:M33">
    <cfRule type="cellIs" dxfId="296" priority="3" operator="lessThan">
      <formula>0</formula>
    </cfRule>
  </conditionalFormatting>
  <conditionalFormatting sqref="G33:I33">
    <cfRule type="cellIs" dxfId="295" priority="2" operator="lessThan">
      <formula>0</formula>
    </cfRule>
  </conditionalFormatting>
  <conditionalFormatting sqref="G33:I33">
    <cfRule type="cellIs" dxfId="294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4" fitToHeight="0" orientation="landscape" r:id="rId1"/>
  <headerFooter>
    <oddFooter>&amp;CStrana &amp;P z &amp;N</oddFooter>
  </headerFooter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B1:BL95"/>
  <sheetViews>
    <sheetView showGridLines="0" view="pageBreakPreview" topLeftCell="A52" zoomScale="60" zoomScaleNormal="100" workbookViewId="0">
      <selection activeCell="J81" sqref="J81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4" width="9.33203125" style="8"/>
    <col min="15" max="58" width="9.33203125" style="8" hidden="1" customWidth="1"/>
    <col min="59" max="60" width="9.33203125" style="8"/>
    <col min="61" max="61" width="13.83203125" style="8" bestFit="1" customWidth="1"/>
    <col min="62" max="63" width="9.33203125" style="8"/>
    <col min="64" max="64" width="13.83203125" style="8" bestFit="1" customWidth="1"/>
    <col min="65" max="16384" width="9.33203125" style="8"/>
  </cols>
  <sheetData>
    <row r="1" spans="2:64" ht="18.95" customHeight="1" x14ac:dyDescent="0.2">
      <c r="F1" s="11"/>
      <c r="G1" s="89"/>
      <c r="H1" s="88"/>
      <c r="I1" s="8"/>
      <c r="J1" s="9"/>
      <c r="K1" s="10"/>
      <c r="L1" s="10"/>
    </row>
    <row r="2" spans="2:64" s="88" customFormat="1" ht="18" customHeight="1" x14ac:dyDescent="0.25">
      <c r="E2" s="13"/>
      <c r="F2" s="11" t="s">
        <v>824</v>
      </c>
      <c r="G2" s="89" t="s">
        <v>825</v>
      </c>
      <c r="I2" s="91"/>
      <c r="J2" s="141"/>
      <c r="K2" s="90"/>
      <c r="L2" s="91"/>
      <c r="M2" s="92"/>
      <c r="N2" s="93"/>
      <c r="O2" s="92"/>
      <c r="P2" s="93"/>
      <c r="Q2" s="92"/>
      <c r="R2" s="93"/>
      <c r="S2" s="92"/>
      <c r="T2" s="93"/>
      <c r="U2" s="92"/>
      <c r="V2" s="93"/>
      <c r="W2" s="92"/>
      <c r="X2" s="93"/>
      <c r="Y2" s="92"/>
      <c r="Z2" s="93"/>
      <c r="AA2" s="92"/>
      <c r="AB2" s="93"/>
      <c r="AC2" s="92"/>
      <c r="AD2" s="93"/>
      <c r="AE2" s="92"/>
      <c r="AF2" s="93"/>
      <c r="AG2" s="92"/>
      <c r="AH2" s="93"/>
      <c r="AI2" s="92"/>
      <c r="AJ2" s="93"/>
      <c r="AK2" s="92"/>
      <c r="AL2" s="93"/>
      <c r="AM2" s="92"/>
      <c r="AN2" s="93"/>
      <c r="AO2" s="92"/>
      <c r="AP2" s="93"/>
      <c r="AQ2" s="92"/>
      <c r="AR2" s="93"/>
      <c r="AS2" s="92"/>
      <c r="AT2" s="93"/>
      <c r="AU2" s="92"/>
      <c r="AV2" s="93"/>
      <c r="AW2" s="92"/>
      <c r="AX2" s="93"/>
      <c r="AY2" s="92"/>
      <c r="AZ2" s="93"/>
      <c r="BA2" s="92"/>
      <c r="BB2" s="93"/>
      <c r="BC2" s="92"/>
      <c r="BD2" s="93"/>
      <c r="BE2" s="92"/>
      <c r="BF2" s="94"/>
      <c r="BG2" s="95"/>
      <c r="BH2" s="96"/>
      <c r="BI2" s="96"/>
      <c r="BJ2" s="97"/>
      <c r="BK2" s="142"/>
    </row>
    <row r="3" spans="2:64" s="88" customFormat="1" ht="18" customHeight="1" x14ac:dyDescent="0.25">
      <c r="E3" s="13"/>
      <c r="F3" s="11" t="s">
        <v>826</v>
      </c>
      <c r="G3" s="89" t="s">
        <v>3</v>
      </c>
      <c r="H3" s="13"/>
      <c r="I3" s="91"/>
      <c r="J3" s="141"/>
      <c r="K3" s="90"/>
      <c r="L3" s="91"/>
      <c r="M3" s="92"/>
      <c r="N3" s="93"/>
      <c r="O3" s="92"/>
      <c r="P3" s="93"/>
      <c r="Q3" s="92"/>
      <c r="R3" s="93"/>
      <c r="S3" s="92"/>
      <c r="T3" s="93"/>
      <c r="U3" s="92"/>
      <c r="V3" s="93"/>
      <c r="W3" s="92"/>
      <c r="X3" s="93"/>
      <c r="Y3" s="92"/>
      <c r="Z3" s="93"/>
      <c r="AA3" s="92"/>
      <c r="AB3" s="93"/>
      <c r="AC3" s="92"/>
      <c r="AD3" s="93"/>
      <c r="AE3" s="92"/>
      <c r="AF3" s="93"/>
      <c r="AG3" s="92"/>
      <c r="AH3" s="93"/>
      <c r="AI3" s="92"/>
      <c r="AJ3" s="93"/>
      <c r="AK3" s="92"/>
      <c r="AL3" s="93"/>
      <c r="AM3" s="92"/>
      <c r="AN3" s="93"/>
      <c r="AO3" s="92"/>
      <c r="AP3" s="93"/>
      <c r="AQ3" s="92"/>
      <c r="AR3" s="93"/>
      <c r="AS3" s="92"/>
      <c r="AT3" s="93"/>
      <c r="AU3" s="92"/>
      <c r="AV3" s="93"/>
      <c r="AW3" s="92"/>
      <c r="AX3" s="93"/>
      <c r="AY3" s="92"/>
      <c r="AZ3" s="93"/>
      <c r="BA3" s="92"/>
      <c r="BB3" s="93"/>
      <c r="BC3" s="92"/>
      <c r="BD3" s="93"/>
      <c r="BE3" s="92"/>
      <c r="BF3" s="94"/>
      <c r="BG3" s="95"/>
      <c r="BH3" s="96"/>
      <c r="BI3" s="96"/>
      <c r="BJ3" s="97"/>
      <c r="BK3" s="142"/>
    </row>
    <row r="4" spans="2:64" s="13" customFormat="1" ht="18" customHeight="1" x14ac:dyDescent="0.25">
      <c r="F4" s="1" t="s">
        <v>827</v>
      </c>
      <c r="G4" s="12" t="s">
        <v>828</v>
      </c>
      <c r="I4" s="91"/>
      <c r="J4" s="143"/>
      <c r="K4" s="98"/>
      <c r="L4" s="91"/>
      <c r="M4" s="99"/>
      <c r="N4" s="100"/>
      <c r="O4" s="99"/>
      <c r="P4" s="100"/>
      <c r="Q4" s="99"/>
      <c r="R4" s="100"/>
      <c r="S4" s="99"/>
      <c r="T4" s="100"/>
      <c r="U4" s="99"/>
      <c r="V4" s="100"/>
      <c r="W4" s="99"/>
      <c r="X4" s="100"/>
      <c r="Y4" s="99"/>
      <c r="Z4" s="100"/>
      <c r="AA4" s="99"/>
      <c r="AB4" s="100"/>
      <c r="AC4" s="99"/>
      <c r="AD4" s="100"/>
      <c r="AE4" s="99"/>
      <c r="AF4" s="100"/>
      <c r="AG4" s="99"/>
      <c r="AH4" s="100"/>
      <c r="AI4" s="99"/>
      <c r="AJ4" s="100"/>
      <c r="AK4" s="99"/>
      <c r="AL4" s="100"/>
      <c r="AM4" s="99"/>
      <c r="AN4" s="100"/>
      <c r="AO4" s="99"/>
      <c r="AP4" s="100"/>
      <c r="AQ4" s="99"/>
      <c r="AR4" s="100"/>
      <c r="AS4" s="99"/>
      <c r="AT4" s="100"/>
      <c r="AU4" s="99"/>
      <c r="AV4" s="100"/>
      <c r="AW4" s="99"/>
      <c r="AX4" s="100"/>
      <c r="AY4" s="99"/>
      <c r="AZ4" s="100"/>
      <c r="BA4" s="99"/>
      <c r="BB4" s="100"/>
      <c r="BC4" s="99"/>
      <c r="BD4" s="100"/>
      <c r="BE4" s="99"/>
      <c r="BF4" s="101"/>
      <c r="BG4" s="102"/>
      <c r="BH4" s="103"/>
      <c r="BI4" s="103"/>
      <c r="BJ4" s="104"/>
      <c r="BK4" s="144"/>
    </row>
    <row r="5" spans="2:64" s="13" customFormat="1" ht="18" customHeight="1" x14ac:dyDescent="0.25">
      <c r="F5" s="1" t="s">
        <v>829</v>
      </c>
      <c r="G5" s="12" t="s">
        <v>830</v>
      </c>
      <c r="I5" s="91"/>
      <c r="J5" s="143"/>
      <c r="K5" s="98"/>
      <c r="L5" s="91"/>
      <c r="M5" s="99"/>
      <c r="N5" s="100"/>
      <c r="O5" s="99"/>
      <c r="P5" s="100"/>
      <c r="Q5" s="99"/>
      <c r="R5" s="100"/>
      <c r="S5" s="99"/>
      <c r="T5" s="100"/>
      <c r="U5" s="99"/>
      <c r="V5" s="100"/>
      <c r="W5" s="99"/>
      <c r="X5" s="100"/>
      <c r="Y5" s="99"/>
      <c r="Z5" s="100"/>
      <c r="AA5" s="99"/>
      <c r="AB5" s="100"/>
      <c r="AC5" s="99"/>
      <c r="AD5" s="100"/>
      <c r="AE5" s="99"/>
      <c r="AF5" s="100"/>
      <c r="AG5" s="99"/>
      <c r="AH5" s="100"/>
      <c r="AI5" s="99"/>
      <c r="AJ5" s="100"/>
      <c r="AK5" s="99"/>
      <c r="AL5" s="100"/>
      <c r="AM5" s="99"/>
      <c r="AN5" s="100"/>
      <c r="AO5" s="99"/>
      <c r="AP5" s="100"/>
      <c r="AQ5" s="99"/>
      <c r="AR5" s="100"/>
      <c r="AS5" s="99"/>
      <c r="AT5" s="100"/>
      <c r="AU5" s="99"/>
      <c r="AV5" s="100"/>
      <c r="AW5" s="99"/>
      <c r="AX5" s="100"/>
      <c r="AY5" s="99"/>
      <c r="AZ5" s="100"/>
      <c r="BA5" s="99"/>
      <c r="BB5" s="100"/>
      <c r="BC5" s="99"/>
      <c r="BD5" s="100"/>
      <c r="BE5" s="99"/>
      <c r="BF5" s="101"/>
      <c r="BG5" s="102"/>
      <c r="BH5" s="103"/>
      <c r="BI5" s="103"/>
      <c r="BJ5" s="104"/>
      <c r="BK5" s="144"/>
    </row>
    <row r="6" spans="2:64" s="13" customFormat="1" ht="18" customHeight="1" x14ac:dyDescent="0.25">
      <c r="F6" s="11" t="s">
        <v>831</v>
      </c>
      <c r="G6" s="12" t="s">
        <v>832</v>
      </c>
      <c r="I6" s="91"/>
      <c r="J6" s="143"/>
      <c r="K6" s="98"/>
      <c r="L6" s="91"/>
      <c r="M6" s="99"/>
      <c r="N6" s="100"/>
      <c r="O6" s="99"/>
      <c r="P6" s="100"/>
      <c r="Q6" s="99"/>
      <c r="R6" s="100"/>
      <c r="S6" s="99"/>
      <c r="T6" s="100"/>
      <c r="U6" s="99"/>
      <c r="V6" s="100"/>
      <c r="W6" s="99"/>
      <c r="X6" s="100"/>
      <c r="Y6" s="99"/>
      <c r="Z6" s="100"/>
      <c r="AA6" s="99"/>
      <c r="AB6" s="100"/>
      <c r="AC6" s="99"/>
      <c r="AD6" s="100"/>
      <c r="AE6" s="99"/>
      <c r="AF6" s="100"/>
      <c r="AG6" s="99"/>
      <c r="AH6" s="100"/>
      <c r="AI6" s="99"/>
      <c r="AJ6" s="100"/>
      <c r="AK6" s="99"/>
      <c r="AL6" s="100"/>
      <c r="AM6" s="99"/>
      <c r="AN6" s="100"/>
      <c r="AO6" s="99"/>
      <c r="AP6" s="100"/>
      <c r="AQ6" s="99"/>
      <c r="AR6" s="100"/>
      <c r="AS6" s="99"/>
      <c r="AT6" s="100"/>
      <c r="AU6" s="99"/>
      <c r="AV6" s="100"/>
      <c r="AW6" s="99"/>
      <c r="AX6" s="100"/>
      <c r="AY6" s="99"/>
      <c r="AZ6" s="100"/>
      <c r="BA6" s="99"/>
      <c r="BB6" s="100"/>
      <c r="BC6" s="99"/>
      <c r="BD6" s="100"/>
      <c r="BE6" s="99"/>
      <c r="BF6" s="101"/>
      <c r="BG6" s="102"/>
      <c r="BH6" s="103"/>
      <c r="BI6" s="103"/>
      <c r="BJ6" s="104"/>
      <c r="BK6" s="144"/>
    </row>
    <row r="7" spans="2:64" s="13" customFormat="1" ht="18" customHeight="1" x14ac:dyDescent="0.25">
      <c r="F7" s="11" t="s">
        <v>833</v>
      </c>
      <c r="G7" s="105" t="s">
        <v>834</v>
      </c>
      <c r="H7" s="145"/>
      <c r="I7" s="91"/>
      <c r="J7" s="143"/>
      <c r="K7" s="98"/>
      <c r="L7" s="91"/>
      <c r="M7" s="99"/>
      <c r="N7" s="100"/>
      <c r="O7" s="99"/>
      <c r="P7" s="100"/>
      <c r="Q7" s="99"/>
      <c r="R7" s="100"/>
      <c r="S7" s="99"/>
      <c r="T7" s="100"/>
      <c r="U7" s="99"/>
      <c r="V7" s="100"/>
      <c r="W7" s="99"/>
      <c r="X7" s="100"/>
      <c r="Y7" s="99"/>
      <c r="Z7" s="100"/>
      <c r="AA7" s="99"/>
      <c r="AB7" s="100"/>
      <c r="AC7" s="99"/>
      <c r="AD7" s="100"/>
      <c r="AE7" s="99"/>
      <c r="AF7" s="100"/>
      <c r="AG7" s="99"/>
      <c r="AH7" s="100"/>
      <c r="AI7" s="99"/>
      <c r="AJ7" s="100"/>
      <c r="AK7" s="99"/>
      <c r="AL7" s="100"/>
      <c r="AM7" s="99"/>
      <c r="AN7" s="100"/>
      <c r="AO7" s="99"/>
      <c r="AP7" s="100"/>
      <c r="AQ7" s="99"/>
      <c r="AR7" s="100"/>
      <c r="AS7" s="99"/>
      <c r="AT7" s="100"/>
      <c r="AU7" s="99"/>
      <c r="AV7" s="100"/>
      <c r="AW7" s="99"/>
      <c r="AX7" s="100"/>
      <c r="AY7" s="99"/>
      <c r="AZ7" s="100"/>
      <c r="BA7" s="99"/>
      <c r="BB7" s="100"/>
      <c r="BC7" s="99"/>
      <c r="BD7" s="100"/>
      <c r="BE7" s="99"/>
      <c r="BF7" s="101"/>
      <c r="BG7" s="102"/>
      <c r="BH7" s="103"/>
      <c r="BI7" s="103"/>
      <c r="BJ7" s="104"/>
      <c r="BK7" s="144"/>
    </row>
    <row r="8" spans="2:64" s="14" customFormat="1" ht="18" customHeight="1" x14ac:dyDescent="0.2">
      <c r="D8" s="146"/>
      <c r="F8" s="11"/>
      <c r="G8" s="105"/>
      <c r="H8" s="145"/>
      <c r="K8" s="147"/>
      <c r="L8" s="148" t="s">
        <v>850</v>
      </c>
      <c r="M8" s="350">
        <v>43982</v>
      </c>
      <c r="N8" s="350"/>
      <c r="O8" s="351">
        <v>44012</v>
      </c>
      <c r="P8" s="351"/>
      <c r="Q8" s="351">
        <v>44043</v>
      </c>
      <c r="R8" s="351"/>
      <c r="S8" s="351">
        <v>44074</v>
      </c>
      <c r="T8" s="351"/>
      <c r="U8" s="351">
        <v>44104</v>
      </c>
      <c r="V8" s="351"/>
      <c r="W8" s="351">
        <v>44135</v>
      </c>
      <c r="X8" s="351"/>
      <c r="Y8" s="351">
        <v>44165</v>
      </c>
      <c r="Z8" s="351"/>
      <c r="AA8" s="351">
        <v>44196</v>
      </c>
      <c r="AB8" s="351"/>
      <c r="AC8" s="351">
        <v>44227</v>
      </c>
      <c r="AD8" s="351"/>
      <c r="AE8" s="351">
        <v>44255</v>
      </c>
      <c r="AF8" s="351"/>
      <c r="AG8" s="351">
        <v>44286</v>
      </c>
      <c r="AH8" s="351"/>
      <c r="AI8" s="351">
        <v>44316</v>
      </c>
      <c r="AJ8" s="351"/>
      <c r="AK8" s="351">
        <v>44347</v>
      </c>
      <c r="AL8" s="351"/>
      <c r="AM8" s="351">
        <v>44377</v>
      </c>
      <c r="AN8" s="351"/>
      <c r="AO8" s="351">
        <v>44408</v>
      </c>
      <c r="AP8" s="351"/>
      <c r="AQ8" s="351">
        <v>44439</v>
      </c>
      <c r="AR8" s="351"/>
      <c r="AS8" s="351">
        <v>44469</v>
      </c>
      <c r="AT8" s="351"/>
      <c r="AU8" s="351">
        <v>44500</v>
      </c>
      <c r="AV8" s="351"/>
      <c r="AW8" s="351">
        <v>44530</v>
      </c>
      <c r="AX8" s="351"/>
      <c r="AY8" s="351">
        <v>44561</v>
      </c>
      <c r="AZ8" s="351"/>
      <c r="BA8" s="351">
        <v>44592</v>
      </c>
      <c r="BB8" s="351"/>
      <c r="BC8" s="351">
        <v>44620</v>
      </c>
      <c r="BD8" s="351"/>
      <c r="BE8" s="351">
        <v>44651</v>
      </c>
      <c r="BF8" s="351"/>
      <c r="BG8" s="149" t="s">
        <v>851</v>
      </c>
      <c r="BH8" s="180" t="str">
        <f>+C12</f>
        <v>PS 03.1 - ČSe - elektrotechnická část a MaR - dodavatel nebude tento PS oceňovat, dodá objednatel</v>
      </c>
      <c r="BI8" s="180"/>
      <c r="BK8" s="151"/>
    </row>
    <row r="9" spans="2:64" s="15" customFormat="1" ht="20.100000000000001" customHeight="1" x14ac:dyDescent="0.2">
      <c r="C9" s="174"/>
      <c r="D9" s="176"/>
      <c r="E9" s="176"/>
      <c r="F9" s="176"/>
      <c r="G9" s="176"/>
      <c r="H9" s="176"/>
      <c r="I9" s="177"/>
      <c r="J9" s="178"/>
      <c r="K9" s="352" t="s">
        <v>837</v>
      </c>
      <c r="L9" s="352"/>
      <c r="M9" s="353" t="s">
        <v>852</v>
      </c>
      <c r="N9" s="353"/>
      <c r="O9" s="353" t="s">
        <v>853</v>
      </c>
      <c r="P9" s="353"/>
      <c r="Q9" s="353" t="s">
        <v>854</v>
      </c>
      <c r="R9" s="353"/>
      <c r="S9" s="353" t="s">
        <v>855</v>
      </c>
      <c r="T9" s="353"/>
      <c r="U9" s="353" t="s">
        <v>856</v>
      </c>
      <c r="V9" s="353"/>
      <c r="W9" s="353" t="s">
        <v>838</v>
      </c>
      <c r="X9" s="353"/>
      <c r="Y9" s="353" t="s">
        <v>839</v>
      </c>
      <c r="Z9" s="353"/>
      <c r="AA9" s="353" t="s">
        <v>840</v>
      </c>
      <c r="AB9" s="353"/>
      <c r="AC9" s="353" t="s">
        <v>857</v>
      </c>
      <c r="AD9" s="353"/>
      <c r="AE9" s="353" t="s">
        <v>858</v>
      </c>
      <c r="AF9" s="353"/>
      <c r="AG9" s="353" t="s">
        <v>859</v>
      </c>
      <c r="AH9" s="353"/>
      <c r="AI9" s="353" t="s">
        <v>860</v>
      </c>
      <c r="AJ9" s="353"/>
      <c r="AK9" s="353" t="s">
        <v>861</v>
      </c>
      <c r="AL9" s="353"/>
      <c r="AM9" s="353" t="s">
        <v>862</v>
      </c>
      <c r="AN9" s="353"/>
      <c r="AO9" s="353" t="s">
        <v>863</v>
      </c>
      <c r="AP9" s="353"/>
      <c r="AQ9" s="353" t="s">
        <v>864</v>
      </c>
      <c r="AR9" s="353"/>
      <c r="AS9" s="353" t="s">
        <v>865</v>
      </c>
      <c r="AT9" s="353"/>
      <c r="AU9" s="353" t="s">
        <v>841</v>
      </c>
      <c r="AV9" s="353"/>
      <c r="AW9" s="353" t="s">
        <v>842</v>
      </c>
      <c r="AX9" s="353"/>
      <c r="AY9" s="353" t="s">
        <v>843</v>
      </c>
      <c r="AZ9" s="353"/>
      <c r="BA9" s="353" t="s">
        <v>866</v>
      </c>
      <c r="BB9" s="353"/>
      <c r="BC9" s="353" t="s">
        <v>867</v>
      </c>
      <c r="BD9" s="353"/>
      <c r="BE9" s="353" t="s">
        <v>868</v>
      </c>
      <c r="BF9" s="353"/>
      <c r="BG9" s="339" t="s">
        <v>844</v>
      </c>
      <c r="BH9" s="339"/>
      <c r="BI9" s="340"/>
      <c r="BJ9" s="341" t="s">
        <v>845</v>
      </c>
      <c r="BK9" s="341"/>
      <c r="BL9" s="342"/>
    </row>
    <row r="10" spans="2:64" s="15" customFormat="1" ht="24" customHeight="1" x14ac:dyDescent="0.2">
      <c r="C10" s="16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2" t="s">
        <v>874</v>
      </c>
      <c r="L10" s="23" t="s">
        <v>847</v>
      </c>
      <c r="M10" s="354" t="s">
        <v>847</v>
      </c>
      <c r="N10" s="354"/>
      <c r="O10" s="355" t="s">
        <v>847</v>
      </c>
      <c r="P10" s="355"/>
      <c r="Q10" s="24" t="s">
        <v>874</v>
      </c>
      <c r="R10" s="86" t="s">
        <v>847</v>
      </c>
      <c r="S10" s="355" t="s">
        <v>847</v>
      </c>
      <c r="T10" s="355"/>
      <c r="U10" s="355" t="s">
        <v>847</v>
      </c>
      <c r="V10" s="355"/>
      <c r="W10" s="354" t="s">
        <v>847</v>
      </c>
      <c r="X10" s="354"/>
      <c r="Y10" s="354" t="s">
        <v>847</v>
      </c>
      <c r="Z10" s="354"/>
      <c r="AA10" s="354" t="s">
        <v>847</v>
      </c>
      <c r="AB10" s="354"/>
      <c r="AC10" s="354" t="s">
        <v>847</v>
      </c>
      <c r="AD10" s="354"/>
      <c r="AE10" s="354" t="s">
        <v>847</v>
      </c>
      <c r="AF10" s="354"/>
      <c r="AG10" s="354" t="s">
        <v>847</v>
      </c>
      <c r="AH10" s="354"/>
      <c r="AI10" s="354" t="s">
        <v>847</v>
      </c>
      <c r="AJ10" s="354"/>
      <c r="AK10" s="354" t="s">
        <v>847</v>
      </c>
      <c r="AL10" s="354"/>
      <c r="AM10" s="354" t="s">
        <v>847</v>
      </c>
      <c r="AN10" s="354"/>
      <c r="AO10" s="354" t="s">
        <v>847</v>
      </c>
      <c r="AP10" s="354"/>
      <c r="AQ10" s="354" t="s">
        <v>847</v>
      </c>
      <c r="AR10" s="354"/>
      <c r="AS10" s="354" t="s">
        <v>847</v>
      </c>
      <c r="AT10" s="354"/>
      <c r="AU10" s="354" t="s">
        <v>847</v>
      </c>
      <c r="AV10" s="354"/>
      <c r="AW10" s="354" t="s">
        <v>847</v>
      </c>
      <c r="AX10" s="354"/>
      <c r="AY10" s="354" t="s">
        <v>847</v>
      </c>
      <c r="AZ10" s="354"/>
      <c r="BA10" s="354" t="s">
        <v>847</v>
      </c>
      <c r="BB10" s="354"/>
      <c r="BC10" s="354" t="s">
        <v>847</v>
      </c>
      <c r="BD10" s="354"/>
      <c r="BE10" s="354" t="s">
        <v>847</v>
      </c>
      <c r="BF10" s="354"/>
      <c r="BG10" s="25" t="s">
        <v>874</v>
      </c>
      <c r="BH10" s="26" t="s">
        <v>847</v>
      </c>
      <c r="BI10" s="26" t="s">
        <v>915</v>
      </c>
      <c r="BJ10" s="27" t="s">
        <v>874</v>
      </c>
      <c r="BK10" s="28" t="s">
        <v>847</v>
      </c>
      <c r="BL10" s="55" t="s">
        <v>915</v>
      </c>
    </row>
    <row r="11" spans="2:64" s="15" customFormat="1" ht="12.75" x14ac:dyDescent="0.2">
      <c r="D11" s="29"/>
      <c r="E11" s="29"/>
      <c r="F11" s="29"/>
      <c r="G11" s="29"/>
      <c r="H11" s="30"/>
      <c r="I11" s="31"/>
      <c r="J11" s="32"/>
      <c r="K11" s="33"/>
      <c r="L11" s="34"/>
      <c r="M11" s="35"/>
      <c r="N11" s="35"/>
      <c r="O11" s="36"/>
      <c r="P11" s="35"/>
      <c r="Q11" s="35"/>
      <c r="R11" s="35"/>
      <c r="S11" s="35"/>
      <c r="T11" s="35"/>
      <c r="U11" s="35"/>
      <c r="V11" s="35"/>
      <c r="W11" s="37"/>
      <c r="X11" s="37"/>
      <c r="Y11" s="36"/>
      <c r="Z11" s="35"/>
      <c r="AA11" s="37"/>
      <c r="AB11" s="37"/>
      <c r="AC11" s="37"/>
      <c r="AD11" s="37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7"/>
      <c r="BF11" s="37"/>
      <c r="BG11" s="38"/>
      <c r="BH11" s="39"/>
      <c r="BI11" s="39"/>
      <c r="BJ11" s="40"/>
      <c r="BK11" s="41"/>
    </row>
    <row r="12" spans="2:64" s="121" customFormat="1" ht="22.9" customHeight="1" x14ac:dyDescent="0.25">
      <c r="B12" s="120"/>
      <c r="C12" s="152" t="s">
        <v>911</v>
      </c>
      <c r="D12" s="120"/>
      <c r="E12" s="120"/>
      <c r="F12" s="120"/>
      <c r="G12" s="120"/>
      <c r="H12" s="120"/>
      <c r="I12" s="153"/>
      <c r="J12" s="154">
        <f>+SUBTOTAL(9,J13:J91)</f>
        <v>0</v>
      </c>
      <c r="K12" s="155" t="str">
        <f t="shared" ref="K12:K75" si="0">IF(ISBLANK(I12),"",SUM(M12+O12+Q12+S12+U12+W12+Y12+AA12+AC12+AE12+AG12+AI12+AK12+BE12,AM12,AO12,AQ12,AS12,AU12,AW12,AY12,BA12,BC12))</f>
        <v/>
      </c>
      <c r="L12" s="156" t="str">
        <f t="shared" ref="L12:L75" si="1">IF(ISBLANK(I12),"",K12*I12)</f>
        <v/>
      </c>
      <c r="M12" s="157"/>
      <c r="N12" s="158" t="str">
        <f t="shared" ref="N12:N75" si="2">IF(ISBLANK($H12),"",M12*$I12)</f>
        <v/>
      </c>
      <c r="O12" s="157"/>
      <c r="P12" s="158" t="str">
        <f t="shared" ref="P12:P75" si="3">IF(ISBLANK($H12),"",O12*$I12)</f>
        <v/>
      </c>
      <c r="Q12" s="159"/>
      <c r="R12" s="158" t="str">
        <f t="shared" ref="R12:R75" si="4">IF(ISBLANK($H12),"",Q12*$I12)</f>
        <v/>
      </c>
      <c r="S12" s="160"/>
      <c r="T12" s="158" t="str">
        <f t="shared" ref="T12:T75" si="5">IF(ISBLANK($H12),"",S12*$I12)</f>
        <v/>
      </c>
      <c r="U12" s="160"/>
      <c r="V12" s="158" t="str">
        <f t="shared" ref="V12:V75" si="6">IF(ISBLANK($H12),"",U12*$I12)</f>
        <v/>
      </c>
      <c r="W12" s="160"/>
      <c r="X12" s="158" t="str">
        <f t="shared" ref="X12:X75" si="7">IF(ISBLANK($H12),"",W12*$I12)</f>
        <v/>
      </c>
      <c r="Y12" s="160"/>
      <c r="Z12" s="158" t="str">
        <f t="shared" ref="Z12:Z75" si="8">IF(ISBLANK($H12),"",Y12*$I12)</f>
        <v/>
      </c>
      <c r="AA12" s="160"/>
      <c r="AB12" s="158" t="str">
        <f t="shared" ref="AB12:AB75" si="9">IF(ISBLANK($H12),"",AA12*$I12)</f>
        <v/>
      </c>
      <c r="AC12" s="160"/>
      <c r="AD12" s="158" t="str">
        <f t="shared" ref="AD12:AD75" si="10">IF(ISBLANK($H12),"",AC12*$I12)</f>
        <v/>
      </c>
      <c r="AE12" s="160"/>
      <c r="AF12" s="158" t="str">
        <f t="shared" ref="AF12:AF75" si="11">IF(ISBLANK($H12),"",AE12*$I12)</f>
        <v/>
      </c>
      <c r="AG12" s="160"/>
      <c r="AH12" s="158" t="str">
        <f t="shared" ref="AH12:AH75" si="12">IF(ISBLANK($H12),"",AG12*$I12)</f>
        <v/>
      </c>
      <c r="AI12" s="160"/>
      <c r="AJ12" s="158" t="str">
        <f t="shared" ref="AJ12:AJ75" si="13">IF(ISBLANK($H12),"",AI12*$I12)</f>
        <v/>
      </c>
      <c r="AK12" s="160"/>
      <c r="AL12" s="158" t="str">
        <f t="shared" ref="AL12:AL75" si="14">IF(ISBLANK($H12),"",AK12*$I12)</f>
        <v/>
      </c>
      <c r="AM12" s="160"/>
      <c r="AN12" s="158" t="str">
        <f t="shared" ref="AN12:AN75" si="15">IF(ISBLANK($H12),"",AM12*$I12)</f>
        <v/>
      </c>
      <c r="AO12" s="160"/>
      <c r="AP12" s="158" t="str">
        <f t="shared" ref="AP12:AP75" si="16">IF(ISBLANK($H12),"",AO12*$I12)</f>
        <v/>
      </c>
      <c r="AQ12" s="160"/>
      <c r="AR12" s="158" t="str">
        <f t="shared" ref="AR12:AR75" si="17">IF(ISBLANK($H12),"",AQ12*$I12)</f>
        <v/>
      </c>
      <c r="AS12" s="160"/>
      <c r="AT12" s="158" t="str">
        <f t="shared" ref="AT12:AT75" si="18">IF(ISBLANK($H12),"",AS12*$I12)</f>
        <v/>
      </c>
      <c r="AU12" s="160"/>
      <c r="AV12" s="158" t="str">
        <f t="shared" ref="AV12:AV75" si="19">IF(ISBLANK($H12),"",AU12*$I12)</f>
        <v/>
      </c>
      <c r="AW12" s="160"/>
      <c r="AX12" s="158" t="str">
        <f t="shared" ref="AX12:AX75" si="20">IF(ISBLANK($H12),"",AW12*$I12)</f>
        <v/>
      </c>
      <c r="AY12" s="160"/>
      <c r="AZ12" s="158" t="str">
        <f t="shared" ref="AZ12:AZ75" si="21">IF(ISBLANK($H12),"",AY12*$I12)</f>
        <v/>
      </c>
      <c r="BA12" s="160"/>
      <c r="BB12" s="158" t="str">
        <f t="shared" ref="BB12:BB75" si="22">IF(ISBLANK($H12),"",BA12*$I12)</f>
        <v/>
      </c>
      <c r="BC12" s="160"/>
      <c r="BD12" s="158" t="str">
        <f t="shared" ref="BD12:BD75" si="23">IF(ISBLANK($H12),"",BC12*$I12)</f>
        <v/>
      </c>
      <c r="BE12" s="160"/>
      <c r="BF12" s="158" t="str">
        <f t="shared" ref="BF12:BF75" si="24">IF(ISBLANK($H12),"",BE12*$I12)</f>
        <v/>
      </c>
      <c r="BG12" s="161" t="str">
        <f t="shared" ref="BG12:BG75" si="25">IF(ISBLANK(H12),"",SUM(M12+O12+Q12+S12+U12+W12+Y12+AA12+AC12+AE12+AG12+AI12+AK12+BE12+AM12,AO12,AQ12,AS12+AU12,AW12,AY12,BA12,BC12,BE12))</f>
        <v/>
      </c>
      <c r="BH12" s="162" t="str">
        <f t="shared" ref="BH12:BH75" si="26">IF(ISBLANK(H12),"",SUM(N12+P12+R12+T12+V12+X12+Z12+AB12+AD12+AF12+AH12+AJ12+AL12+BF12,BD12,BB12,AZ12,AX12,AV12,AT12,AR12,AP12,AN12))</f>
        <v/>
      </c>
      <c r="BI12" s="162"/>
      <c r="BJ12" s="163" t="str">
        <f t="shared" ref="BJ12:BJ75" si="27">IF(ISBLANK(H12),"",H12-BG12)</f>
        <v/>
      </c>
      <c r="BK12" s="164" t="str">
        <f t="shared" ref="BK12:BK75" si="28">IF(ISBLANK(H12),"",J12-BH12)</f>
        <v/>
      </c>
    </row>
    <row r="13" spans="2:64" s="170" customFormat="1" ht="25.9" customHeight="1" x14ac:dyDescent="0.2">
      <c r="B13" s="165"/>
      <c r="C13" s="165"/>
      <c r="D13" s="166" t="s">
        <v>4</v>
      </c>
      <c r="E13" s="167" t="s">
        <v>627</v>
      </c>
      <c r="F13" s="167" t="s">
        <v>628</v>
      </c>
      <c r="G13" s="165"/>
      <c r="H13" s="165"/>
      <c r="I13" s="168"/>
      <c r="J13" s="169">
        <f>+SUBTOTAL(9,J14:J69)</f>
        <v>0</v>
      </c>
      <c r="K13" s="155" t="str">
        <f t="shared" si="0"/>
        <v/>
      </c>
      <c r="L13" s="156" t="str">
        <f t="shared" si="1"/>
        <v/>
      </c>
      <c r="M13" s="157"/>
      <c r="N13" s="158" t="str">
        <f t="shared" si="2"/>
        <v/>
      </c>
      <c r="O13" s="157"/>
      <c r="P13" s="158" t="str">
        <f t="shared" si="3"/>
        <v/>
      </c>
      <c r="Q13" s="159"/>
      <c r="R13" s="158" t="str">
        <f t="shared" si="4"/>
        <v/>
      </c>
      <c r="S13" s="160"/>
      <c r="T13" s="158" t="str">
        <f t="shared" si="5"/>
        <v/>
      </c>
      <c r="U13" s="160"/>
      <c r="V13" s="158" t="str">
        <f t="shared" si="6"/>
        <v/>
      </c>
      <c r="W13" s="160"/>
      <c r="X13" s="158" t="str">
        <f t="shared" si="7"/>
        <v/>
      </c>
      <c r="Y13" s="160"/>
      <c r="Z13" s="158" t="str">
        <f t="shared" si="8"/>
        <v/>
      </c>
      <c r="AA13" s="160"/>
      <c r="AB13" s="158" t="str">
        <f t="shared" si="9"/>
        <v/>
      </c>
      <c r="AC13" s="160"/>
      <c r="AD13" s="158" t="str">
        <f t="shared" si="10"/>
        <v/>
      </c>
      <c r="AE13" s="160"/>
      <c r="AF13" s="158" t="str">
        <f t="shared" si="11"/>
        <v/>
      </c>
      <c r="AG13" s="160"/>
      <c r="AH13" s="158" t="str">
        <f t="shared" si="12"/>
        <v/>
      </c>
      <c r="AI13" s="160"/>
      <c r="AJ13" s="158" t="str">
        <f t="shared" si="13"/>
        <v/>
      </c>
      <c r="AK13" s="160"/>
      <c r="AL13" s="158" t="str">
        <f t="shared" si="14"/>
        <v/>
      </c>
      <c r="AM13" s="160"/>
      <c r="AN13" s="158" t="str">
        <f t="shared" si="15"/>
        <v/>
      </c>
      <c r="AO13" s="160"/>
      <c r="AP13" s="158" t="str">
        <f t="shared" si="16"/>
        <v/>
      </c>
      <c r="AQ13" s="160"/>
      <c r="AR13" s="158" t="str">
        <f t="shared" si="17"/>
        <v/>
      </c>
      <c r="AS13" s="160"/>
      <c r="AT13" s="158" t="str">
        <f t="shared" si="18"/>
        <v/>
      </c>
      <c r="AU13" s="160"/>
      <c r="AV13" s="158" t="str">
        <f t="shared" si="19"/>
        <v/>
      </c>
      <c r="AW13" s="160"/>
      <c r="AX13" s="158" t="str">
        <f t="shared" si="20"/>
        <v/>
      </c>
      <c r="AY13" s="160"/>
      <c r="AZ13" s="158" t="str">
        <f t="shared" si="21"/>
        <v/>
      </c>
      <c r="BA13" s="160"/>
      <c r="BB13" s="158" t="str">
        <f t="shared" si="22"/>
        <v/>
      </c>
      <c r="BC13" s="160"/>
      <c r="BD13" s="158" t="str">
        <f t="shared" si="23"/>
        <v/>
      </c>
      <c r="BE13" s="160"/>
      <c r="BF13" s="158" t="str">
        <f t="shared" si="24"/>
        <v/>
      </c>
      <c r="BG13" s="161" t="str">
        <f t="shared" si="25"/>
        <v/>
      </c>
      <c r="BH13" s="162" t="str">
        <f t="shared" si="26"/>
        <v/>
      </c>
      <c r="BI13" s="162"/>
      <c r="BJ13" s="163" t="str">
        <f t="shared" si="27"/>
        <v/>
      </c>
      <c r="BK13" s="164" t="str">
        <f t="shared" si="28"/>
        <v/>
      </c>
    </row>
    <row r="14" spans="2:64" s="121" customFormat="1" ht="16.5" customHeight="1" x14ac:dyDescent="0.2">
      <c r="B14" s="120"/>
      <c r="C14" s="73" t="s">
        <v>7</v>
      </c>
      <c r="D14" s="73" t="s">
        <v>209</v>
      </c>
      <c r="E14" s="74" t="s">
        <v>629</v>
      </c>
      <c r="F14" s="75" t="s">
        <v>630</v>
      </c>
      <c r="G14" s="76" t="s">
        <v>578</v>
      </c>
      <c r="H14" s="77">
        <v>1</v>
      </c>
      <c r="I14" s="78"/>
      <c r="J14" s="77">
        <v>0</v>
      </c>
      <c r="K14" s="62" t="str">
        <f t="shared" si="0"/>
        <v/>
      </c>
      <c r="L14" s="63" t="str">
        <f t="shared" si="1"/>
        <v/>
      </c>
      <c r="M14" s="64"/>
      <c r="N14" s="65">
        <f t="shared" si="2"/>
        <v>0</v>
      </c>
      <c r="O14" s="64"/>
      <c r="P14" s="65">
        <f t="shared" si="3"/>
        <v>0</v>
      </c>
      <c r="Q14" s="66"/>
      <c r="R14" s="65">
        <f t="shared" si="4"/>
        <v>0</v>
      </c>
      <c r="S14" s="67"/>
      <c r="T14" s="65">
        <f t="shared" si="5"/>
        <v>0</v>
      </c>
      <c r="U14" s="67"/>
      <c r="V14" s="65">
        <f t="shared" si="6"/>
        <v>0</v>
      </c>
      <c r="W14" s="67"/>
      <c r="X14" s="65">
        <f t="shared" si="7"/>
        <v>0</v>
      </c>
      <c r="Y14" s="67"/>
      <c r="Z14" s="65">
        <f t="shared" si="8"/>
        <v>0</v>
      </c>
      <c r="AA14" s="67"/>
      <c r="AB14" s="65">
        <f t="shared" si="9"/>
        <v>0</v>
      </c>
      <c r="AC14" s="67"/>
      <c r="AD14" s="65">
        <f t="shared" si="10"/>
        <v>0</v>
      </c>
      <c r="AE14" s="67"/>
      <c r="AF14" s="65">
        <f t="shared" si="11"/>
        <v>0</v>
      </c>
      <c r="AG14" s="67"/>
      <c r="AH14" s="65">
        <f t="shared" si="12"/>
        <v>0</v>
      </c>
      <c r="AI14" s="67"/>
      <c r="AJ14" s="65">
        <f t="shared" si="13"/>
        <v>0</v>
      </c>
      <c r="AK14" s="67"/>
      <c r="AL14" s="65">
        <f t="shared" si="14"/>
        <v>0</v>
      </c>
      <c r="AM14" s="67"/>
      <c r="AN14" s="65">
        <f t="shared" si="15"/>
        <v>0</v>
      </c>
      <c r="AO14" s="67"/>
      <c r="AP14" s="65">
        <f t="shared" si="16"/>
        <v>0</v>
      </c>
      <c r="AQ14" s="67"/>
      <c r="AR14" s="65">
        <f t="shared" si="17"/>
        <v>0</v>
      </c>
      <c r="AS14" s="67"/>
      <c r="AT14" s="65">
        <f t="shared" si="18"/>
        <v>0</v>
      </c>
      <c r="AU14" s="67"/>
      <c r="AV14" s="65">
        <f t="shared" si="19"/>
        <v>0</v>
      </c>
      <c r="AW14" s="67"/>
      <c r="AX14" s="65">
        <f t="shared" si="20"/>
        <v>0</v>
      </c>
      <c r="AY14" s="67"/>
      <c r="AZ14" s="65">
        <f t="shared" si="21"/>
        <v>0</v>
      </c>
      <c r="BA14" s="67"/>
      <c r="BB14" s="65">
        <f t="shared" si="22"/>
        <v>0</v>
      </c>
      <c r="BC14" s="67"/>
      <c r="BD14" s="65">
        <f t="shared" si="23"/>
        <v>0</v>
      </c>
      <c r="BE14" s="67"/>
      <c r="BF14" s="65">
        <f t="shared" si="24"/>
        <v>0</v>
      </c>
      <c r="BG14" s="68">
        <f t="shared" si="25"/>
        <v>0</v>
      </c>
      <c r="BH14" s="69">
        <f t="shared" si="26"/>
        <v>0</v>
      </c>
      <c r="BI14" s="70">
        <f>IFERROR(IF($J14=0,0,BH14/$J14),"")</f>
        <v>0</v>
      </c>
      <c r="BJ14" s="71">
        <f t="shared" si="27"/>
        <v>1</v>
      </c>
      <c r="BK14" s="72">
        <f t="shared" si="28"/>
        <v>0</v>
      </c>
      <c r="BL14" s="179">
        <f>IFERROR(IF($J14=0,0,BK14/$J14),"")</f>
        <v>0</v>
      </c>
    </row>
    <row r="15" spans="2:64" s="121" customFormat="1" ht="16.5" customHeight="1" x14ac:dyDescent="0.2">
      <c r="B15" s="120"/>
      <c r="C15" s="73" t="s">
        <v>8</v>
      </c>
      <c r="D15" s="73" t="s">
        <v>209</v>
      </c>
      <c r="E15" s="74" t="s">
        <v>631</v>
      </c>
      <c r="F15" s="75" t="s">
        <v>632</v>
      </c>
      <c r="G15" s="76" t="s">
        <v>578</v>
      </c>
      <c r="H15" s="77">
        <v>1</v>
      </c>
      <c r="I15" s="78"/>
      <c r="J15" s="77">
        <v>0</v>
      </c>
      <c r="K15" s="62" t="str">
        <f t="shared" si="0"/>
        <v/>
      </c>
      <c r="L15" s="63" t="str">
        <f t="shared" si="1"/>
        <v/>
      </c>
      <c r="M15" s="64"/>
      <c r="N15" s="65">
        <f t="shared" si="2"/>
        <v>0</v>
      </c>
      <c r="O15" s="64"/>
      <c r="P15" s="65">
        <f t="shared" si="3"/>
        <v>0</v>
      </c>
      <c r="Q15" s="66"/>
      <c r="R15" s="65">
        <f t="shared" si="4"/>
        <v>0</v>
      </c>
      <c r="S15" s="67"/>
      <c r="T15" s="65">
        <f t="shared" si="5"/>
        <v>0</v>
      </c>
      <c r="U15" s="67"/>
      <c r="V15" s="65">
        <f t="shared" si="6"/>
        <v>0</v>
      </c>
      <c r="W15" s="67"/>
      <c r="X15" s="65">
        <f t="shared" si="7"/>
        <v>0</v>
      </c>
      <c r="Y15" s="67"/>
      <c r="Z15" s="65">
        <f t="shared" si="8"/>
        <v>0</v>
      </c>
      <c r="AA15" s="67"/>
      <c r="AB15" s="65">
        <f t="shared" si="9"/>
        <v>0</v>
      </c>
      <c r="AC15" s="67"/>
      <c r="AD15" s="65">
        <f t="shared" si="10"/>
        <v>0</v>
      </c>
      <c r="AE15" s="67"/>
      <c r="AF15" s="65">
        <f t="shared" si="11"/>
        <v>0</v>
      </c>
      <c r="AG15" s="67"/>
      <c r="AH15" s="65">
        <f t="shared" si="12"/>
        <v>0</v>
      </c>
      <c r="AI15" s="67"/>
      <c r="AJ15" s="65">
        <f t="shared" si="13"/>
        <v>0</v>
      </c>
      <c r="AK15" s="67"/>
      <c r="AL15" s="65">
        <f t="shared" si="14"/>
        <v>0</v>
      </c>
      <c r="AM15" s="67"/>
      <c r="AN15" s="65">
        <f t="shared" si="15"/>
        <v>0</v>
      </c>
      <c r="AO15" s="67"/>
      <c r="AP15" s="65">
        <f t="shared" si="16"/>
        <v>0</v>
      </c>
      <c r="AQ15" s="67"/>
      <c r="AR15" s="65">
        <f t="shared" si="17"/>
        <v>0</v>
      </c>
      <c r="AS15" s="67"/>
      <c r="AT15" s="65">
        <f t="shared" si="18"/>
        <v>0</v>
      </c>
      <c r="AU15" s="67"/>
      <c r="AV15" s="65">
        <f t="shared" si="19"/>
        <v>0</v>
      </c>
      <c r="AW15" s="67"/>
      <c r="AX15" s="65">
        <f t="shared" si="20"/>
        <v>0</v>
      </c>
      <c r="AY15" s="67"/>
      <c r="AZ15" s="65">
        <f t="shared" si="21"/>
        <v>0</v>
      </c>
      <c r="BA15" s="67"/>
      <c r="BB15" s="65">
        <f t="shared" si="22"/>
        <v>0</v>
      </c>
      <c r="BC15" s="67"/>
      <c r="BD15" s="65">
        <f t="shared" si="23"/>
        <v>0</v>
      </c>
      <c r="BE15" s="67"/>
      <c r="BF15" s="65">
        <f t="shared" si="24"/>
        <v>0</v>
      </c>
      <c r="BG15" s="68">
        <f t="shared" si="25"/>
        <v>0</v>
      </c>
      <c r="BH15" s="69">
        <f t="shared" si="26"/>
        <v>0</v>
      </c>
      <c r="BI15" s="70">
        <f t="shared" ref="BI15:BI78" si="29">IFERROR(IF($J15=0,0,BH15/$J15),"")</f>
        <v>0</v>
      </c>
      <c r="BJ15" s="71">
        <f t="shared" si="27"/>
        <v>1</v>
      </c>
      <c r="BK15" s="72">
        <f t="shared" si="28"/>
        <v>0</v>
      </c>
      <c r="BL15" s="179">
        <f t="shared" ref="BL15:BL78" si="30">IFERROR(IF($J15=0,0,BK15/$J15),"")</f>
        <v>0</v>
      </c>
    </row>
    <row r="16" spans="2:64" s="121" customFormat="1" ht="16.5" customHeight="1" x14ac:dyDescent="0.2">
      <c r="B16" s="120"/>
      <c r="C16" s="73" t="s">
        <v>13</v>
      </c>
      <c r="D16" s="73" t="s">
        <v>209</v>
      </c>
      <c r="E16" s="74" t="s">
        <v>633</v>
      </c>
      <c r="F16" s="75" t="s">
        <v>634</v>
      </c>
      <c r="G16" s="76" t="s">
        <v>578</v>
      </c>
      <c r="H16" s="77">
        <v>1</v>
      </c>
      <c r="I16" s="78"/>
      <c r="J16" s="77">
        <v>0</v>
      </c>
      <c r="K16" s="62" t="str">
        <f t="shared" si="0"/>
        <v/>
      </c>
      <c r="L16" s="63" t="str">
        <f t="shared" si="1"/>
        <v/>
      </c>
      <c r="M16" s="64"/>
      <c r="N16" s="65">
        <f t="shared" si="2"/>
        <v>0</v>
      </c>
      <c r="O16" s="64"/>
      <c r="P16" s="65">
        <f t="shared" si="3"/>
        <v>0</v>
      </c>
      <c r="Q16" s="66"/>
      <c r="R16" s="65">
        <f t="shared" si="4"/>
        <v>0</v>
      </c>
      <c r="S16" s="67"/>
      <c r="T16" s="65">
        <f t="shared" si="5"/>
        <v>0</v>
      </c>
      <c r="U16" s="67"/>
      <c r="V16" s="65">
        <f t="shared" si="6"/>
        <v>0</v>
      </c>
      <c r="W16" s="67"/>
      <c r="X16" s="65">
        <f t="shared" si="7"/>
        <v>0</v>
      </c>
      <c r="Y16" s="67"/>
      <c r="Z16" s="65">
        <f t="shared" si="8"/>
        <v>0</v>
      </c>
      <c r="AA16" s="67"/>
      <c r="AB16" s="65">
        <f t="shared" si="9"/>
        <v>0</v>
      </c>
      <c r="AC16" s="67"/>
      <c r="AD16" s="65">
        <f t="shared" si="10"/>
        <v>0</v>
      </c>
      <c r="AE16" s="67"/>
      <c r="AF16" s="65">
        <f t="shared" si="11"/>
        <v>0</v>
      </c>
      <c r="AG16" s="67"/>
      <c r="AH16" s="65">
        <f t="shared" si="12"/>
        <v>0</v>
      </c>
      <c r="AI16" s="67"/>
      <c r="AJ16" s="65">
        <f t="shared" si="13"/>
        <v>0</v>
      </c>
      <c r="AK16" s="67"/>
      <c r="AL16" s="65">
        <f t="shared" si="14"/>
        <v>0</v>
      </c>
      <c r="AM16" s="67"/>
      <c r="AN16" s="65">
        <f t="shared" si="15"/>
        <v>0</v>
      </c>
      <c r="AO16" s="67"/>
      <c r="AP16" s="65">
        <f t="shared" si="16"/>
        <v>0</v>
      </c>
      <c r="AQ16" s="67"/>
      <c r="AR16" s="65">
        <f t="shared" si="17"/>
        <v>0</v>
      </c>
      <c r="AS16" s="67"/>
      <c r="AT16" s="65">
        <f t="shared" si="18"/>
        <v>0</v>
      </c>
      <c r="AU16" s="67"/>
      <c r="AV16" s="65">
        <f t="shared" si="19"/>
        <v>0</v>
      </c>
      <c r="AW16" s="67"/>
      <c r="AX16" s="65">
        <f t="shared" si="20"/>
        <v>0</v>
      </c>
      <c r="AY16" s="67"/>
      <c r="AZ16" s="65">
        <f t="shared" si="21"/>
        <v>0</v>
      </c>
      <c r="BA16" s="67"/>
      <c r="BB16" s="65">
        <f t="shared" si="22"/>
        <v>0</v>
      </c>
      <c r="BC16" s="67"/>
      <c r="BD16" s="65">
        <f t="shared" si="23"/>
        <v>0</v>
      </c>
      <c r="BE16" s="67"/>
      <c r="BF16" s="65">
        <f t="shared" si="24"/>
        <v>0</v>
      </c>
      <c r="BG16" s="68">
        <f t="shared" si="25"/>
        <v>0</v>
      </c>
      <c r="BH16" s="69">
        <f t="shared" si="26"/>
        <v>0</v>
      </c>
      <c r="BI16" s="70">
        <f t="shared" si="29"/>
        <v>0</v>
      </c>
      <c r="BJ16" s="71">
        <f t="shared" si="27"/>
        <v>1</v>
      </c>
      <c r="BK16" s="72">
        <f t="shared" si="28"/>
        <v>0</v>
      </c>
      <c r="BL16" s="179">
        <f t="shared" si="30"/>
        <v>0</v>
      </c>
    </row>
    <row r="17" spans="2:64" s="121" customFormat="1" ht="16.5" customHeight="1" x14ac:dyDescent="0.2">
      <c r="B17" s="120"/>
      <c r="C17" s="73" t="s">
        <v>100</v>
      </c>
      <c r="D17" s="73" t="s">
        <v>209</v>
      </c>
      <c r="E17" s="74" t="s">
        <v>635</v>
      </c>
      <c r="F17" s="75" t="s">
        <v>636</v>
      </c>
      <c r="G17" s="76" t="s">
        <v>578</v>
      </c>
      <c r="H17" s="77">
        <v>1</v>
      </c>
      <c r="I17" s="78"/>
      <c r="J17" s="77">
        <v>0</v>
      </c>
      <c r="K17" s="62" t="str">
        <f t="shared" si="0"/>
        <v/>
      </c>
      <c r="L17" s="63" t="str">
        <f t="shared" si="1"/>
        <v/>
      </c>
      <c r="M17" s="64"/>
      <c r="N17" s="65">
        <f t="shared" si="2"/>
        <v>0</v>
      </c>
      <c r="O17" s="64"/>
      <c r="P17" s="65">
        <f t="shared" si="3"/>
        <v>0</v>
      </c>
      <c r="Q17" s="66"/>
      <c r="R17" s="65">
        <f t="shared" si="4"/>
        <v>0</v>
      </c>
      <c r="S17" s="67"/>
      <c r="T17" s="65">
        <f t="shared" si="5"/>
        <v>0</v>
      </c>
      <c r="U17" s="67"/>
      <c r="V17" s="65">
        <f t="shared" si="6"/>
        <v>0</v>
      </c>
      <c r="W17" s="67"/>
      <c r="X17" s="65">
        <f t="shared" si="7"/>
        <v>0</v>
      </c>
      <c r="Y17" s="67"/>
      <c r="Z17" s="65">
        <f t="shared" si="8"/>
        <v>0</v>
      </c>
      <c r="AA17" s="67"/>
      <c r="AB17" s="65">
        <f t="shared" si="9"/>
        <v>0</v>
      </c>
      <c r="AC17" s="67"/>
      <c r="AD17" s="65">
        <f t="shared" si="10"/>
        <v>0</v>
      </c>
      <c r="AE17" s="67"/>
      <c r="AF17" s="65">
        <f t="shared" si="11"/>
        <v>0</v>
      </c>
      <c r="AG17" s="67"/>
      <c r="AH17" s="65">
        <f t="shared" si="12"/>
        <v>0</v>
      </c>
      <c r="AI17" s="67"/>
      <c r="AJ17" s="65">
        <f t="shared" si="13"/>
        <v>0</v>
      </c>
      <c r="AK17" s="67"/>
      <c r="AL17" s="65">
        <f t="shared" si="14"/>
        <v>0</v>
      </c>
      <c r="AM17" s="67"/>
      <c r="AN17" s="65">
        <f t="shared" si="15"/>
        <v>0</v>
      </c>
      <c r="AO17" s="67"/>
      <c r="AP17" s="65">
        <f t="shared" si="16"/>
        <v>0</v>
      </c>
      <c r="AQ17" s="67"/>
      <c r="AR17" s="65">
        <f t="shared" si="17"/>
        <v>0</v>
      </c>
      <c r="AS17" s="67"/>
      <c r="AT17" s="65">
        <f t="shared" si="18"/>
        <v>0</v>
      </c>
      <c r="AU17" s="67"/>
      <c r="AV17" s="65">
        <f t="shared" si="19"/>
        <v>0</v>
      </c>
      <c r="AW17" s="67"/>
      <c r="AX17" s="65">
        <f t="shared" si="20"/>
        <v>0</v>
      </c>
      <c r="AY17" s="67"/>
      <c r="AZ17" s="65">
        <f t="shared" si="21"/>
        <v>0</v>
      </c>
      <c r="BA17" s="67"/>
      <c r="BB17" s="65">
        <f t="shared" si="22"/>
        <v>0</v>
      </c>
      <c r="BC17" s="67"/>
      <c r="BD17" s="65">
        <f t="shared" si="23"/>
        <v>0</v>
      </c>
      <c r="BE17" s="67"/>
      <c r="BF17" s="65">
        <f t="shared" si="24"/>
        <v>0</v>
      </c>
      <c r="BG17" s="68">
        <f t="shared" si="25"/>
        <v>0</v>
      </c>
      <c r="BH17" s="69">
        <f t="shared" si="26"/>
        <v>0</v>
      </c>
      <c r="BI17" s="70">
        <f t="shared" si="29"/>
        <v>0</v>
      </c>
      <c r="BJ17" s="71">
        <f t="shared" si="27"/>
        <v>1</v>
      </c>
      <c r="BK17" s="72">
        <f t="shared" si="28"/>
        <v>0</v>
      </c>
      <c r="BL17" s="179">
        <f t="shared" si="30"/>
        <v>0</v>
      </c>
    </row>
    <row r="18" spans="2:64" s="121" customFormat="1" ht="16.5" customHeight="1" x14ac:dyDescent="0.2">
      <c r="B18" s="120"/>
      <c r="C18" s="73" t="s">
        <v>105</v>
      </c>
      <c r="D18" s="73" t="s">
        <v>209</v>
      </c>
      <c r="E18" s="74" t="s">
        <v>637</v>
      </c>
      <c r="F18" s="75" t="s">
        <v>638</v>
      </c>
      <c r="G18" s="76" t="s">
        <v>578</v>
      </c>
      <c r="H18" s="77">
        <v>1</v>
      </c>
      <c r="I18" s="78"/>
      <c r="J18" s="77">
        <v>0</v>
      </c>
      <c r="K18" s="62" t="str">
        <f t="shared" si="0"/>
        <v/>
      </c>
      <c r="L18" s="63" t="str">
        <f t="shared" si="1"/>
        <v/>
      </c>
      <c r="M18" s="64"/>
      <c r="N18" s="65">
        <f t="shared" si="2"/>
        <v>0</v>
      </c>
      <c r="O18" s="64"/>
      <c r="P18" s="65">
        <f t="shared" si="3"/>
        <v>0</v>
      </c>
      <c r="Q18" s="66"/>
      <c r="R18" s="65">
        <f t="shared" si="4"/>
        <v>0</v>
      </c>
      <c r="S18" s="67"/>
      <c r="T18" s="65">
        <f t="shared" si="5"/>
        <v>0</v>
      </c>
      <c r="U18" s="67"/>
      <c r="V18" s="65">
        <f t="shared" si="6"/>
        <v>0</v>
      </c>
      <c r="W18" s="67"/>
      <c r="X18" s="65">
        <f t="shared" si="7"/>
        <v>0</v>
      </c>
      <c r="Y18" s="67"/>
      <c r="Z18" s="65">
        <f t="shared" si="8"/>
        <v>0</v>
      </c>
      <c r="AA18" s="67"/>
      <c r="AB18" s="65">
        <f t="shared" si="9"/>
        <v>0</v>
      </c>
      <c r="AC18" s="67"/>
      <c r="AD18" s="65">
        <f t="shared" si="10"/>
        <v>0</v>
      </c>
      <c r="AE18" s="67"/>
      <c r="AF18" s="65">
        <f t="shared" si="11"/>
        <v>0</v>
      </c>
      <c r="AG18" s="67"/>
      <c r="AH18" s="65">
        <f t="shared" si="12"/>
        <v>0</v>
      </c>
      <c r="AI18" s="67"/>
      <c r="AJ18" s="65">
        <f t="shared" si="13"/>
        <v>0</v>
      </c>
      <c r="AK18" s="67"/>
      <c r="AL18" s="65">
        <f t="shared" si="14"/>
        <v>0</v>
      </c>
      <c r="AM18" s="67"/>
      <c r="AN18" s="65">
        <f t="shared" si="15"/>
        <v>0</v>
      </c>
      <c r="AO18" s="67"/>
      <c r="AP18" s="65">
        <f t="shared" si="16"/>
        <v>0</v>
      </c>
      <c r="AQ18" s="67"/>
      <c r="AR18" s="65">
        <f t="shared" si="17"/>
        <v>0</v>
      </c>
      <c r="AS18" s="67"/>
      <c r="AT18" s="65">
        <f t="shared" si="18"/>
        <v>0</v>
      </c>
      <c r="AU18" s="67"/>
      <c r="AV18" s="65">
        <f t="shared" si="19"/>
        <v>0</v>
      </c>
      <c r="AW18" s="67"/>
      <c r="AX18" s="65">
        <f t="shared" si="20"/>
        <v>0</v>
      </c>
      <c r="AY18" s="67"/>
      <c r="AZ18" s="65">
        <f t="shared" si="21"/>
        <v>0</v>
      </c>
      <c r="BA18" s="67"/>
      <c r="BB18" s="65">
        <f t="shared" si="22"/>
        <v>0</v>
      </c>
      <c r="BC18" s="67"/>
      <c r="BD18" s="65">
        <f t="shared" si="23"/>
        <v>0</v>
      </c>
      <c r="BE18" s="67"/>
      <c r="BF18" s="65">
        <f t="shared" si="24"/>
        <v>0</v>
      </c>
      <c r="BG18" s="68">
        <f t="shared" si="25"/>
        <v>0</v>
      </c>
      <c r="BH18" s="69">
        <f t="shared" si="26"/>
        <v>0</v>
      </c>
      <c r="BI18" s="70">
        <f t="shared" si="29"/>
        <v>0</v>
      </c>
      <c r="BJ18" s="71">
        <f t="shared" si="27"/>
        <v>1</v>
      </c>
      <c r="BK18" s="72">
        <f t="shared" si="28"/>
        <v>0</v>
      </c>
      <c r="BL18" s="179">
        <f t="shared" si="30"/>
        <v>0</v>
      </c>
    </row>
    <row r="19" spans="2:64" s="121" customFormat="1" ht="16.5" customHeight="1" x14ac:dyDescent="0.2">
      <c r="B19" s="120"/>
      <c r="C19" s="73" t="s">
        <v>109</v>
      </c>
      <c r="D19" s="73" t="s">
        <v>209</v>
      </c>
      <c r="E19" s="74" t="s">
        <v>639</v>
      </c>
      <c r="F19" s="75" t="s">
        <v>640</v>
      </c>
      <c r="G19" s="76" t="s">
        <v>578</v>
      </c>
      <c r="H19" s="77">
        <v>1</v>
      </c>
      <c r="I19" s="78"/>
      <c r="J19" s="77">
        <v>0</v>
      </c>
      <c r="K19" s="62" t="str">
        <f t="shared" si="0"/>
        <v/>
      </c>
      <c r="L19" s="63" t="str">
        <f t="shared" si="1"/>
        <v/>
      </c>
      <c r="M19" s="64"/>
      <c r="N19" s="65">
        <f t="shared" si="2"/>
        <v>0</v>
      </c>
      <c r="O19" s="64"/>
      <c r="P19" s="65">
        <f t="shared" si="3"/>
        <v>0</v>
      </c>
      <c r="Q19" s="66"/>
      <c r="R19" s="65">
        <f t="shared" si="4"/>
        <v>0</v>
      </c>
      <c r="S19" s="67"/>
      <c r="T19" s="65">
        <f t="shared" si="5"/>
        <v>0</v>
      </c>
      <c r="U19" s="67"/>
      <c r="V19" s="65">
        <f t="shared" si="6"/>
        <v>0</v>
      </c>
      <c r="W19" s="67"/>
      <c r="X19" s="65">
        <f t="shared" si="7"/>
        <v>0</v>
      </c>
      <c r="Y19" s="67"/>
      <c r="Z19" s="65">
        <f t="shared" si="8"/>
        <v>0</v>
      </c>
      <c r="AA19" s="67"/>
      <c r="AB19" s="65">
        <f t="shared" si="9"/>
        <v>0</v>
      </c>
      <c r="AC19" s="67"/>
      <c r="AD19" s="65">
        <f t="shared" si="10"/>
        <v>0</v>
      </c>
      <c r="AE19" s="67"/>
      <c r="AF19" s="65">
        <f t="shared" si="11"/>
        <v>0</v>
      </c>
      <c r="AG19" s="67"/>
      <c r="AH19" s="65">
        <f t="shared" si="12"/>
        <v>0</v>
      </c>
      <c r="AI19" s="67"/>
      <c r="AJ19" s="65">
        <f t="shared" si="13"/>
        <v>0</v>
      </c>
      <c r="AK19" s="67"/>
      <c r="AL19" s="65">
        <f t="shared" si="14"/>
        <v>0</v>
      </c>
      <c r="AM19" s="67"/>
      <c r="AN19" s="65">
        <f t="shared" si="15"/>
        <v>0</v>
      </c>
      <c r="AO19" s="67"/>
      <c r="AP19" s="65">
        <f t="shared" si="16"/>
        <v>0</v>
      </c>
      <c r="AQ19" s="67"/>
      <c r="AR19" s="65">
        <f t="shared" si="17"/>
        <v>0</v>
      </c>
      <c r="AS19" s="67"/>
      <c r="AT19" s="65">
        <f t="shared" si="18"/>
        <v>0</v>
      </c>
      <c r="AU19" s="67"/>
      <c r="AV19" s="65">
        <f t="shared" si="19"/>
        <v>0</v>
      </c>
      <c r="AW19" s="67"/>
      <c r="AX19" s="65">
        <f t="shared" si="20"/>
        <v>0</v>
      </c>
      <c r="AY19" s="67"/>
      <c r="AZ19" s="65">
        <f t="shared" si="21"/>
        <v>0</v>
      </c>
      <c r="BA19" s="67"/>
      <c r="BB19" s="65">
        <f t="shared" si="22"/>
        <v>0</v>
      </c>
      <c r="BC19" s="67"/>
      <c r="BD19" s="65">
        <f t="shared" si="23"/>
        <v>0</v>
      </c>
      <c r="BE19" s="67"/>
      <c r="BF19" s="65">
        <f t="shared" si="24"/>
        <v>0</v>
      </c>
      <c r="BG19" s="68">
        <f t="shared" si="25"/>
        <v>0</v>
      </c>
      <c r="BH19" s="69">
        <f t="shared" si="26"/>
        <v>0</v>
      </c>
      <c r="BI19" s="70">
        <f t="shared" si="29"/>
        <v>0</v>
      </c>
      <c r="BJ19" s="71">
        <f t="shared" si="27"/>
        <v>1</v>
      </c>
      <c r="BK19" s="72">
        <f t="shared" si="28"/>
        <v>0</v>
      </c>
      <c r="BL19" s="179">
        <f t="shared" si="30"/>
        <v>0</v>
      </c>
    </row>
    <row r="20" spans="2:64" s="121" customFormat="1" ht="16.5" customHeight="1" x14ac:dyDescent="0.2">
      <c r="B20" s="120"/>
      <c r="C20" s="73" t="s">
        <v>112</v>
      </c>
      <c r="D20" s="73" t="s">
        <v>209</v>
      </c>
      <c r="E20" s="74" t="s">
        <v>641</v>
      </c>
      <c r="F20" s="75" t="s">
        <v>642</v>
      </c>
      <c r="G20" s="76" t="s">
        <v>578</v>
      </c>
      <c r="H20" s="77">
        <v>1</v>
      </c>
      <c r="I20" s="78"/>
      <c r="J20" s="77">
        <v>0</v>
      </c>
      <c r="K20" s="62" t="str">
        <f t="shared" si="0"/>
        <v/>
      </c>
      <c r="L20" s="63" t="str">
        <f t="shared" si="1"/>
        <v/>
      </c>
      <c r="M20" s="64"/>
      <c r="N20" s="65">
        <f t="shared" si="2"/>
        <v>0</v>
      </c>
      <c r="O20" s="64"/>
      <c r="P20" s="65">
        <f t="shared" si="3"/>
        <v>0</v>
      </c>
      <c r="Q20" s="66"/>
      <c r="R20" s="65">
        <f t="shared" si="4"/>
        <v>0</v>
      </c>
      <c r="S20" s="67"/>
      <c r="T20" s="65">
        <f t="shared" si="5"/>
        <v>0</v>
      </c>
      <c r="U20" s="67"/>
      <c r="V20" s="65">
        <f t="shared" si="6"/>
        <v>0</v>
      </c>
      <c r="W20" s="67"/>
      <c r="X20" s="65">
        <f t="shared" si="7"/>
        <v>0</v>
      </c>
      <c r="Y20" s="67"/>
      <c r="Z20" s="65">
        <f t="shared" si="8"/>
        <v>0</v>
      </c>
      <c r="AA20" s="67"/>
      <c r="AB20" s="65">
        <f t="shared" si="9"/>
        <v>0</v>
      </c>
      <c r="AC20" s="67"/>
      <c r="AD20" s="65">
        <f t="shared" si="10"/>
        <v>0</v>
      </c>
      <c r="AE20" s="67"/>
      <c r="AF20" s="65">
        <f t="shared" si="11"/>
        <v>0</v>
      </c>
      <c r="AG20" s="67"/>
      <c r="AH20" s="65">
        <f t="shared" si="12"/>
        <v>0</v>
      </c>
      <c r="AI20" s="67"/>
      <c r="AJ20" s="65">
        <f t="shared" si="13"/>
        <v>0</v>
      </c>
      <c r="AK20" s="67"/>
      <c r="AL20" s="65">
        <f t="shared" si="14"/>
        <v>0</v>
      </c>
      <c r="AM20" s="67"/>
      <c r="AN20" s="65">
        <f t="shared" si="15"/>
        <v>0</v>
      </c>
      <c r="AO20" s="67"/>
      <c r="AP20" s="65">
        <f t="shared" si="16"/>
        <v>0</v>
      </c>
      <c r="AQ20" s="67"/>
      <c r="AR20" s="65">
        <f t="shared" si="17"/>
        <v>0</v>
      </c>
      <c r="AS20" s="67"/>
      <c r="AT20" s="65">
        <f t="shared" si="18"/>
        <v>0</v>
      </c>
      <c r="AU20" s="67"/>
      <c r="AV20" s="65">
        <f t="shared" si="19"/>
        <v>0</v>
      </c>
      <c r="AW20" s="67"/>
      <c r="AX20" s="65">
        <f t="shared" si="20"/>
        <v>0</v>
      </c>
      <c r="AY20" s="67"/>
      <c r="AZ20" s="65">
        <f t="shared" si="21"/>
        <v>0</v>
      </c>
      <c r="BA20" s="67"/>
      <c r="BB20" s="65">
        <f t="shared" si="22"/>
        <v>0</v>
      </c>
      <c r="BC20" s="67"/>
      <c r="BD20" s="65">
        <f t="shared" si="23"/>
        <v>0</v>
      </c>
      <c r="BE20" s="67"/>
      <c r="BF20" s="65">
        <f t="shared" si="24"/>
        <v>0</v>
      </c>
      <c r="BG20" s="68">
        <f t="shared" si="25"/>
        <v>0</v>
      </c>
      <c r="BH20" s="69">
        <f t="shared" si="26"/>
        <v>0</v>
      </c>
      <c r="BI20" s="70">
        <f t="shared" si="29"/>
        <v>0</v>
      </c>
      <c r="BJ20" s="71">
        <f t="shared" si="27"/>
        <v>1</v>
      </c>
      <c r="BK20" s="72">
        <f t="shared" si="28"/>
        <v>0</v>
      </c>
      <c r="BL20" s="179">
        <f t="shared" si="30"/>
        <v>0</v>
      </c>
    </row>
    <row r="21" spans="2:64" s="121" customFormat="1" ht="16.5" customHeight="1" x14ac:dyDescent="0.2">
      <c r="B21" s="120"/>
      <c r="C21" s="73" t="s">
        <v>115</v>
      </c>
      <c r="D21" s="73" t="s">
        <v>209</v>
      </c>
      <c r="E21" s="74" t="s">
        <v>643</v>
      </c>
      <c r="F21" s="75" t="s">
        <v>644</v>
      </c>
      <c r="G21" s="76" t="s">
        <v>578</v>
      </c>
      <c r="H21" s="77">
        <v>1</v>
      </c>
      <c r="I21" s="78"/>
      <c r="J21" s="77">
        <v>0</v>
      </c>
      <c r="K21" s="62" t="str">
        <f t="shared" si="0"/>
        <v/>
      </c>
      <c r="L21" s="63" t="str">
        <f t="shared" si="1"/>
        <v/>
      </c>
      <c r="M21" s="64"/>
      <c r="N21" s="65">
        <f t="shared" si="2"/>
        <v>0</v>
      </c>
      <c r="O21" s="64"/>
      <c r="P21" s="65">
        <f t="shared" si="3"/>
        <v>0</v>
      </c>
      <c r="Q21" s="66"/>
      <c r="R21" s="65">
        <f t="shared" si="4"/>
        <v>0</v>
      </c>
      <c r="S21" s="67"/>
      <c r="T21" s="65">
        <f t="shared" si="5"/>
        <v>0</v>
      </c>
      <c r="U21" s="67"/>
      <c r="V21" s="65">
        <f t="shared" si="6"/>
        <v>0</v>
      </c>
      <c r="W21" s="67"/>
      <c r="X21" s="65">
        <f t="shared" si="7"/>
        <v>0</v>
      </c>
      <c r="Y21" s="67"/>
      <c r="Z21" s="65">
        <f t="shared" si="8"/>
        <v>0</v>
      </c>
      <c r="AA21" s="67"/>
      <c r="AB21" s="65">
        <f t="shared" si="9"/>
        <v>0</v>
      </c>
      <c r="AC21" s="67"/>
      <c r="AD21" s="65">
        <f t="shared" si="10"/>
        <v>0</v>
      </c>
      <c r="AE21" s="67"/>
      <c r="AF21" s="65">
        <f t="shared" si="11"/>
        <v>0</v>
      </c>
      <c r="AG21" s="67"/>
      <c r="AH21" s="65">
        <f t="shared" si="12"/>
        <v>0</v>
      </c>
      <c r="AI21" s="67"/>
      <c r="AJ21" s="65">
        <f t="shared" si="13"/>
        <v>0</v>
      </c>
      <c r="AK21" s="67"/>
      <c r="AL21" s="65">
        <f t="shared" si="14"/>
        <v>0</v>
      </c>
      <c r="AM21" s="67"/>
      <c r="AN21" s="65">
        <f t="shared" si="15"/>
        <v>0</v>
      </c>
      <c r="AO21" s="67"/>
      <c r="AP21" s="65">
        <f t="shared" si="16"/>
        <v>0</v>
      </c>
      <c r="AQ21" s="67"/>
      <c r="AR21" s="65">
        <f t="shared" si="17"/>
        <v>0</v>
      </c>
      <c r="AS21" s="67"/>
      <c r="AT21" s="65">
        <f t="shared" si="18"/>
        <v>0</v>
      </c>
      <c r="AU21" s="67"/>
      <c r="AV21" s="65">
        <f t="shared" si="19"/>
        <v>0</v>
      </c>
      <c r="AW21" s="67"/>
      <c r="AX21" s="65">
        <f t="shared" si="20"/>
        <v>0</v>
      </c>
      <c r="AY21" s="67"/>
      <c r="AZ21" s="65">
        <f t="shared" si="21"/>
        <v>0</v>
      </c>
      <c r="BA21" s="67"/>
      <c r="BB21" s="65">
        <f t="shared" si="22"/>
        <v>0</v>
      </c>
      <c r="BC21" s="67"/>
      <c r="BD21" s="65">
        <f t="shared" si="23"/>
        <v>0</v>
      </c>
      <c r="BE21" s="67"/>
      <c r="BF21" s="65">
        <f t="shared" si="24"/>
        <v>0</v>
      </c>
      <c r="BG21" s="68">
        <f t="shared" si="25"/>
        <v>0</v>
      </c>
      <c r="BH21" s="69">
        <f t="shared" si="26"/>
        <v>0</v>
      </c>
      <c r="BI21" s="70">
        <f t="shared" si="29"/>
        <v>0</v>
      </c>
      <c r="BJ21" s="71">
        <f t="shared" si="27"/>
        <v>1</v>
      </c>
      <c r="BK21" s="72">
        <f t="shared" si="28"/>
        <v>0</v>
      </c>
      <c r="BL21" s="179">
        <f t="shared" si="30"/>
        <v>0</v>
      </c>
    </row>
    <row r="22" spans="2:64" s="121" customFormat="1" ht="16.5" customHeight="1" x14ac:dyDescent="0.2">
      <c r="B22" s="120"/>
      <c r="C22" s="73" t="s">
        <v>118</v>
      </c>
      <c r="D22" s="73" t="s">
        <v>209</v>
      </c>
      <c r="E22" s="74" t="s">
        <v>645</v>
      </c>
      <c r="F22" s="75" t="s">
        <v>646</v>
      </c>
      <c r="G22" s="76" t="s">
        <v>578</v>
      </c>
      <c r="H22" s="77">
        <v>1</v>
      </c>
      <c r="I22" s="78"/>
      <c r="J22" s="77">
        <v>0</v>
      </c>
      <c r="K22" s="62" t="str">
        <f t="shared" si="0"/>
        <v/>
      </c>
      <c r="L22" s="63" t="str">
        <f t="shared" si="1"/>
        <v/>
      </c>
      <c r="M22" s="64"/>
      <c r="N22" s="65">
        <f t="shared" si="2"/>
        <v>0</v>
      </c>
      <c r="O22" s="64"/>
      <c r="P22" s="65">
        <f t="shared" si="3"/>
        <v>0</v>
      </c>
      <c r="Q22" s="66"/>
      <c r="R22" s="65">
        <f t="shared" si="4"/>
        <v>0</v>
      </c>
      <c r="S22" s="67"/>
      <c r="T22" s="65">
        <f t="shared" si="5"/>
        <v>0</v>
      </c>
      <c r="U22" s="67"/>
      <c r="V22" s="65">
        <f t="shared" si="6"/>
        <v>0</v>
      </c>
      <c r="W22" s="67"/>
      <c r="X22" s="65">
        <f t="shared" si="7"/>
        <v>0</v>
      </c>
      <c r="Y22" s="67"/>
      <c r="Z22" s="65">
        <f t="shared" si="8"/>
        <v>0</v>
      </c>
      <c r="AA22" s="67"/>
      <c r="AB22" s="65">
        <f t="shared" si="9"/>
        <v>0</v>
      </c>
      <c r="AC22" s="67"/>
      <c r="AD22" s="65">
        <f t="shared" si="10"/>
        <v>0</v>
      </c>
      <c r="AE22" s="67"/>
      <c r="AF22" s="65">
        <f t="shared" si="11"/>
        <v>0</v>
      </c>
      <c r="AG22" s="67"/>
      <c r="AH22" s="65">
        <f t="shared" si="12"/>
        <v>0</v>
      </c>
      <c r="AI22" s="67"/>
      <c r="AJ22" s="65">
        <f t="shared" si="13"/>
        <v>0</v>
      </c>
      <c r="AK22" s="67"/>
      <c r="AL22" s="65">
        <f t="shared" si="14"/>
        <v>0</v>
      </c>
      <c r="AM22" s="67"/>
      <c r="AN22" s="65">
        <f t="shared" si="15"/>
        <v>0</v>
      </c>
      <c r="AO22" s="67"/>
      <c r="AP22" s="65">
        <f t="shared" si="16"/>
        <v>0</v>
      </c>
      <c r="AQ22" s="67"/>
      <c r="AR22" s="65">
        <f t="shared" si="17"/>
        <v>0</v>
      </c>
      <c r="AS22" s="67"/>
      <c r="AT22" s="65">
        <f t="shared" si="18"/>
        <v>0</v>
      </c>
      <c r="AU22" s="67"/>
      <c r="AV22" s="65">
        <f t="shared" si="19"/>
        <v>0</v>
      </c>
      <c r="AW22" s="67"/>
      <c r="AX22" s="65">
        <f t="shared" si="20"/>
        <v>0</v>
      </c>
      <c r="AY22" s="67"/>
      <c r="AZ22" s="65">
        <f t="shared" si="21"/>
        <v>0</v>
      </c>
      <c r="BA22" s="67"/>
      <c r="BB22" s="65">
        <f t="shared" si="22"/>
        <v>0</v>
      </c>
      <c r="BC22" s="67"/>
      <c r="BD22" s="65">
        <f t="shared" si="23"/>
        <v>0</v>
      </c>
      <c r="BE22" s="67"/>
      <c r="BF22" s="65">
        <f t="shared" si="24"/>
        <v>0</v>
      </c>
      <c r="BG22" s="68">
        <f t="shared" si="25"/>
        <v>0</v>
      </c>
      <c r="BH22" s="69">
        <f t="shared" si="26"/>
        <v>0</v>
      </c>
      <c r="BI22" s="70">
        <f t="shared" si="29"/>
        <v>0</v>
      </c>
      <c r="BJ22" s="71">
        <f t="shared" si="27"/>
        <v>1</v>
      </c>
      <c r="BK22" s="72">
        <f t="shared" si="28"/>
        <v>0</v>
      </c>
      <c r="BL22" s="179">
        <f t="shared" si="30"/>
        <v>0</v>
      </c>
    </row>
    <row r="23" spans="2:64" s="121" customFormat="1" ht="16.5" customHeight="1" x14ac:dyDescent="0.2">
      <c r="B23" s="120"/>
      <c r="C23" s="73" t="s">
        <v>121</v>
      </c>
      <c r="D23" s="73" t="s">
        <v>209</v>
      </c>
      <c r="E23" s="74" t="s">
        <v>647</v>
      </c>
      <c r="F23" s="75" t="s">
        <v>648</v>
      </c>
      <c r="G23" s="76" t="s">
        <v>578</v>
      </c>
      <c r="H23" s="77">
        <v>1</v>
      </c>
      <c r="I23" s="78"/>
      <c r="J23" s="77">
        <v>0</v>
      </c>
      <c r="K23" s="62" t="str">
        <f t="shared" si="0"/>
        <v/>
      </c>
      <c r="L23" s="63" t="str">
        <f t="shared" si="1"/>
        <v/>
      </c>
      <c r="M23" s="64"/>
      <c r="N23" s="65">
        <f t="shared" si="2"/>
        <v>0</v>
      </c>
      <c r="O23" s="64"/>
      <c r="P23" s="65">
        <f t="shared" si="3"/>
        <v>0</v>
      </c>
      <c r="Q23" s="66"/>
      <c r="R23" s="65">
        <f t="shared" si="4"/>
        <v>0</v>
      </c>
      <c r="S23" s="67"/>
      <c r="T23" s="65">
        <f t="shared" si="5"/>
        <v>0</v>
      </c>
      <c r="U23" s="67"/>
      <c r="V23" s="65">
        <f t="shared" si="6"/>
        <v>0</v>
      </c>
      <c r="W23" s="67"/>
      <c r="X23" s="65">
        <f t="shared" si="7"/>
        <v>0</v>
      </c>
      <c r="Y23" s="67"/>
      <c r="Z23" s="65">
        <f t="shared" si="8"/>
        <v>0</v>
      </c>
      <c r="AA23" s="67"/>
      <c r="AB23" s="65">
        <f t="shared" si="9"/>
        <v>0</v>
      </c>
      <c r="AC23" s="67"/>
      <c r="AD23" s="65">
        <f t="shared" si="10"/>
        <v>0</v>
      </c>
      <c r="AE23" s="67"/>
      <c r="AF23" s="65">
        <f t="shared" si="11"/>
        <v>0</v>
      </c>
      <c r="AG23" s="67"/>
      <c r="AH23" s="65">
        <f t="shared" si="12"/>
        <v>0</v>
      </c>
      <c r="AI23" s="67"/>
      <c r="AJ23" s="65">
        <f t="shared" si="13"/>
        <v>0</v>
      </c>
      <c r="AK23" s="67"/>
      <c r="AL23" s="65">
        <f t="shared" si="14"/>
        <v>0</v>
      </c>
      <c r="AM23" s="67"/>
      <c r="AN23" s="65">
        <f t="shared" si="15"/>
        <v>0</v>
      </c>
      <c r="AO23" s="67"/>
      <c r="AP23" s="65">
        <f t="shared" si="16"/>
        <v>0</v>
      </c>
      <c r="AQ23" s="67"/>
      <c r="AR23" s="65">
        <f t="shared" si="17"/>
        <v>0</v>
      </c>
      <c r="AS23" s="67"/>
      <c r="AT23" s="65">
        <f t="shared" si="18"/>
        <v>0</v>
      </c>
      <c r="AU23" s="67"/>
      <c r="AV23" s="65">
        <f t="shared" si="19"/>
        <v>0</v>
      </c>
      <c r="AW23" s="67"/>
      <c r="AX23" s="65">
        <f t="shared" si="20"/>
        <v>0</v>
      </c>
      <c r="AY23" s="67"/>
      <c r="AZ23" s="65">
        <f t="shared" si="21"/>
        <v>0</v>
      </c>
      <c r="BA23" s="67"/>
      <c r="BB23" s="65">
        <f t="shared" si="22"/>
        <v>0</v>
      </c>
      <c r="BC23" s="67"/>
      <c r="BD23" s="65">
        <f t="shared" si="23"/>
        <v>0</v>
      </c>
      <c r="BE23" s="67"/>
      <c r="BF23" s="65">
        <f t="shared" si="24"/>
        <v>0</v>
      </c>
      <c r="BG23" s="68">
        <f t="shared" si="25"/>
        <v>0</v>
      </c>
      <c r="BH23" s="69">
        <f t="shared" si="26"/>
        <v>0</v>
      </c>
      <c r="BI23" s="70">
        <f t="shared" si="29"/>
        <v>0</v>
      </c>
      <c r="BJ23" s="71">
        <f t="shared" si="27"/>
        <v>1</v>
      </c>
      <c r="BK23" s="72">
        <f t="shared" si="28"/>
        <v>0</v>
      </c>
      <c r="BL23" s="179">
        <f t="shared" si="30"/>
        <v>0</v>
      </c>
    </row>
    <row r="24" spans="2:64" s="121" customFormat="1" ht="16.5" customHeight="1" x14ac:dyDescent="0.2">
      <c r="B24" s="120"/>
      <c r="C24" s="73" t="s">
        <v>124</v>
      </c>
      <c r="D24" s="73" t="s">
        <v>209</v>
      </c>
      <c r="E24" s="74" t="s">
        <v>649</v>
      </c>
      <c r="F24" s="75" t="s">
        <v>650</v>
      </c>
      <c r="G24" s="76" t="s">
        <v>578</v>
      </c>
      <c r="H24" s="77">
        <v>1</v>
      </c>
      <c r="I24" s="78"/>
      <c r="J24" s="77">
        <v>0</v>
      </c>
      <c r="K24" s="62" t="str">
        <f t="shared" si="0"/>
        <v/>
      </c>
      <c r="L24" s="63" t="str">
        <f t="shared" si="1"/>
        <v/>
      </c>
      <c r="M24" s="64"/>
      <c r="N24" s="65">
        <f t="shared" si="2"/>
        <v>0</v>
      </c>
      <c r="O24" s="64"/>
      <c r="P24" s="65">
        <f t="shared" si="3"/>
        <v>0</v>
      </c>
      <c r="Q24" s="66"/>
      <c r="R24" s="65">
        <f t="shared" si="4"/>
        <v>0</v>
      </c>
      <c r="S24" s="67"/>
      <c r="T24" s="65">
        <f t="shared" si="5"/>
        <v>0</v>
      </c>
      <c r="U24" s="67"/>
      <c r="V24" s="65">
        <f t="shared" si="6"/>
        <v>0</v>
      </c>
      <c r="W24" s="67"/>
      <c r="X24" s="65">
        <f t="shared" si="7"/>
        <v>0</v>
      </c>
      <c r="Y24" s="67"/>
      <c r="Z24" s="65">
        <f t="shared" si="8"/>
        <v>0</v>
      </c>
      <c r="AA24" s="67"/>
      <c r="AB24" s="65">
        <f t="shared" si="9"/>
        <v>0</v>
      </c>
      <c r="AC24" s="67"/>
      <c r="AD24" s="65">
        <f t="shared" si="10"/>
        <v>0</v>
      </c>
      <c r="AE24" s="67"/>
      <c r="AF24" s="65">
        <f t="shared" si="11"/>
        <v>0</v>
      </c>
      <c r="AG24" s="67"/>
      <c r="AH24" s="65">
        <f t="shared" si="12"/>
        <v>0</v>
      </c>
      <c r="AI24" s="67"/>
      <c r="AJ24" s="65">
        <f t="shared" si="13"/>
        <v>0</v>
      </c>
      <c r="AK24" s="67"/>
      <c r="AL24" s="65">
        <f t="shared" si="14"/>
        <v>0</v>
      </c>
      <c r="AM24" s="67"/>
      <c r="AN24" s="65">
        <f t="shared" si="15"/>
        <v>0</v>
      </c>
      <c r="AO24" s="67"/>
      <c r="AP24" s="65">
        <f t="shared" si="16"/>
        <v>0</v>
      </c>
      <c r="AQ24" s="67"/>
      <c r="AR24" s="65">
        <f t="shared" si="17"/>
        <v>0</v>
      </c>
      <c r="AS24" s="67"/>
      <c r="AT24" s="65">
        <f t="shared" si="18"/>
        <v>0</v>
      </c>
      <c r="AU24" s="67"/>
      <c r="AV24" s="65">
        <f t="shared" si="19"/>
        <v>0</v>
      </c>
      <c r="AW24" s="67"/>
      <c r="AX24" s="65">
        <f t="shared" si="20"/>
        <v>0</v>
      </c>
      <c r="AY24" s="67"/>
      <c r="AZ24" s="65">
        <f t="shared" si="21"/>
        <v>0</v>
      </c>
      <c r="BA24" s="67"/>
      <c r="BB24" s="65">
        <f t="shared" si="22"/>
        <v>0</v>
      </c>
      <c r="BC24" s="67"/>
      <c r="BD24" s="65">
        <f t="shared" si="23"/>
        <v>0</v>
      </c>
      <c r="BE24" s="67"/>
      <c r="BF24" s="65">
        <f t="shared" si="24"/>
        <v>0</v>
      </c>
      <c r="BG24" s="68">
        <f t="shared" si="25"/>
        <v>0</v>
      </c>
      <c r="BH24" s="69">
        <f t="shared" si="26"/>
        <v>0</v>
      </c>
      <c r="BI24" s="70">
        <f t="shared" si="29"/>
        <v>0</v>
      </c>
      <c r="BJ24" s="71">
        <f t="shared" si="27"/>
        <v>1</v>
      </c>
      <c r="BK24" s="72">
        <f t="shared" si="28"/>
        <v>0</v>
      </c>
      <c r="BL24" s="179">
        <f t="shared" si="30"/>
        <v>0</v>
      </c>
    </row>
    <row r="25" spans="2:64" s="121" customFormat="1" ht="16.5" customHeight="1" x14ac:dyDescent="0.2">
      <c r="B25" s="120"/>
      <c r="C25" s="73" t="s">
        <v>127</v>
      </c>
      <c r="D25" s="73" t="s">
        <v>209</v>
      </c>
      <c r="E25" s="74" t="s">
        <v>651</v>
      </c>
      <c r="F25" s="75" t="s">
        <v>652</v>
      </c>
      <c r="G25" s="76" t="s">
        <v>578</v>
      </c>
      <c r="H25" s="77">
        <v>1</v>
      </c>
      <c r="I25" s="78"/>
      <c r="J25" s="77">
        <v>0</v>
      </c>
      <c r="K25" s="62" t="str">
        <f t="shared" si="0"/>
        <v/>
      </c>
      <c r="L25" s="63" t="str">
        <f t="shared" si="1"/>
        <v/>
      </c>
      <c r="M25" s="64"/>
      <c r="N25" s="65">
        <f t="shared" si="2"/>
        <v>0</v>
      </c>
      <c r="O25" s="64"/>
      <c r="P25" s="65">
        <f t="shared" si="3"/>
        <v>0</v>
      </c>
      <c r="Q25" s="66"/>
      <c r="R25" s="65">
        <f t="shared" si="4"/>
        <v>0</v>
      </c>
      <c r="S25" s="67"/>
      <c r="T25" s="65">
        <f t="shared" si="5"/>
        <v>0</v>
      </c>
      <c r="U25" s="67"/>
      <c r="V25" s="65">
        <f t="shared" si="6"/>
        <v>0</v>
      </c>
      <c r="W25" s="67"/>
      <c r="X25" s="65">
        <f t="shared" si="7"/>
        <v>0</v>
      </c>
      <c r="Y25" s="67"/>
      <c r="Z25" s="65">
        <f t="shared" si="8"/>
        <v>0</v>
      </c>
      <c r="AA25" s="67"/>
      <c r="AB25" s="65">
        <f t="shared" si="9"/>
        <v>0</v>
      </c>
      <c r="AC25" s="67"/>
      <c r="AD25" s="65">
        <f t="shared" si="10"/>
        <v>0</v>
      </c>
      <c r="AE25" s="67"/>
      <c r="AF25" s="65">
        <f t="shared" si="11"/>
        <v>0</v>
      </c>
      <c r="AG25" s="67"/>
      <c r="AH25" s="65">
        <f t="shared" si="12"/>
        <v>0</v>
      </c>
      <c r="AI25" s="67"/>
      <c r="AJ25" s="65">
        <f t="shared" si="13"/>
        <v>0</v>
      </c>
      <c r="AK25" s="67"/>
      <c r="AL25" s="65">
        <f t="shared" si="14"/>
        <v>0</v>
      </c>
      <c r="AM25" s="67"/>
      <c r="AN25" s="65">
        <f t="shared" si="15"/>
        <v>0</v>
      </c>
      <c r="AO25" s="67"/>
      <c r="AP25" s="65">
        <f t="shared" si="16"/>
        <v>0</v>
      </c>
      <c r="AQ25" s="67"/>
      <c r="AR25" s="65">
        <f t="shared" si="17"/>
        <v>0</v>
      </c>
      <c r="AS25" s="67"/>
      <c r="AT25" s="65">
        <f t="shared" si="18"/>
        <v>0</v>
      </c>
      <c r="AU25" s="67"/>
      <c r="AV25" s="65">
        <f t="shared" si="19"/>
        <v>0</v>
      </c>
      <c r="AW25" s="67"/>
      <c r="AX25" s="65">
        <f t="shared" si="20"/>
        <v>0</v>
      </c>
      <c r="AY25" s="67"/>
      <c r="AZ25" s="65">
        <f t="shared" si="21"/>
        <v>0</v>
      </c>
      <c r="BA25" s="67"/>
      <c r="BB25" s="65">
        <f t="shared" si="22"/>
        <v>0</v>
      </c>
      <c r="BC25" s="67"/>
      <c r="BD25" s="65">
        <f t="shared" si="23"/>
        <v>0</v>
      </c>
      <c r="BE25" s="67"/>
      <c r="BF25" s="65">
        <f t="shared" si="24"/>
        <v>0</v>
      </c>
      <c r="BG25" s="68">
        <f t="shared" si="25"/>
        <v>0</v>
      </c>
      <c r="BH25" s="69">
        <f t="shared" si="26"/>
        <v>0</v>
      </c>
      <c r="BI25" s="70">
        <f t="shared" si="29"/>
        <v>0</v>
      </c>
      <c r="BJ25" s="71">
        <f t="shared" si="27"/>
        <v>1</v>
      </c>
      <c r="BK25" s="72">
        <f t="shared" si="28"/>
        <v>0</v>
      </c>
      <c r="BL25" s="179">
        <f t="shared" si="30"/>
        <v>0</v>
      </c>
    </row>
    <row r="26" spans="2:64" s="121" customFormat="1" ht="16.5" customHeight="1" x14ac:dyDescent="0.2">
      <c r="B26" s="120"/>
      <c r="C26" s="73" t="s">
        <v>130</v>
      </c>
      <c r="D26" s="73" t="s">
        <v>209</v>
      </c>
      <c r="E26" s="74" t="s">
        <v>653</v>
      </c>
      <c r="F26" s="75" t="s">
        <v>654</v>
      </c>
      <c r="G26" s="76" t="s">
        <v>578</v>
      </c>
      <c r="H26" s="77">
        <v>1</v>
      </c>
      <c r="I26" s="78"/>
      <c r="J26" s="77">
        <v>0</v>
      </c>
      <c r="K26" s="62" t="str">
        <f t="shared" si="0"/>
        <v/>
      </c>
      <c r="L26" s="63" t="str">
        <f t="shared" si="1"/>
        <v/>
      </c>
      <c r="M26" s="64"/>
      <c r="N26" s="65">
        <f t="shared" si="2"/>
        <v>0</v>
      </c>
      <c r="O26" s="64"/>
      <c r="P26" s="65">
        <f t="shared" si="3"/>
        <v>0</v>
      </c>
      <c r="Q26" s="66"/>
      <c r="R26" s="65">
        <f t="shared" si="4"/>
        <v>0</v>
      </c>
      <c r="S26" s="67"/>
      <c r="T26" s="65">
        <f t="shared" si="5"/>
        <v>0</v>
      </c>
      <c r="U26" s="67"/>
      <c r="V26" s="65">
        <f t="shared" si="6"/>
        <v>0</v>
      </c>
      <c r="W26" s="67"/>
      <c r="X26" s="65">
        <f t="shared" si="7"/>
        <v>0</v>
      </c>
      <c r="Y26" s="67"/>
      <c r="Z26" s="65">
        <f t="shared" si="8"/>
        <v>0</v>
      </c>
      <c r="AA26" s="67"/>
      <c r="AB26" s="65">
        <f t="shared" si="9"/>
        <v>0</v>
      </c>
      <c r="AC26" s="67"/>
      <c r="AD26" s="65">
        <f t="shared" si="10"/>
        <v>0</v>
      </c>
      <c r="AE26" s="67"/>
      <c r="AF26" s="65">
        <f t="shared" si="11"/>
        <v>0</v>
      </c>
      <c r="AG26" s="67"/>
      <c r="AH26" s="65">
        <f t="shared" si="12"/>
        <v>0</v>
      </c>
      <c r="AI26" s="67"/>
      <c r="AJ26" s="65">
        <f t="shared" si="13"/>
        <v>0</v>
      </c>
      <c r="AK26" s="67"/>
      <c r="AL26" s="65">
        <f t="shared" si="14"/>
        <v>0</v>
      </c>
      <c r="AM26" s="67"/>
      <c r="AN26" s="65">
        <f t="shared" si="15"/>
        <v>0</v>
      </c>
      <c r="AO26" s="67"/>
      <c r="AP26" s="65">
        <f t="shared" si="16"/>
        <v>0</v>
      </c>
      <c r="AQ26" s="67"/>
      <c r="AR26" s="65">
        <f t="shared" si="17"/>
        <v>0</v>
      </c>
      <c r="AS26" s="67"/>
      <c r="AT26" s="65">
        <f t="shared" si="18"/>
        <v>0</v>
      </c>
      <c r="AU26" s="67"/>
      <c r="AV26" s="65">
        <f t="shared" si="19"/>
        <v>0</v>
      </c>
      <c r="AW26" s="67"/>
      <c r="AX26" s="65">
        <f t="shared" si="20"/>
        <v>0</v>
      </c>
      <c r="AY26" s="67"/>
      <c r="AZ26" s="65">
        <f t="shared" si="21"/>
        <v>0</v>
      </c>
      <c r="BA26" s="67"/>
      <c r="BB26" s="65">
        <f t="shared" si="22"/>
        <v>0</v>
      </c>
      <c r="BC26" s="67"/>
      <c r="BD26" s="65">
        <f t="shared" si="23"/>
        <v>0</v>
      </c>
      <c r="BE26" s="67"/>
      <c r="BF26" s="65">
        <f t="shared" si="24"/>
        <v>0</v>
      </c>
      <c r="BG26" s="68">
        <f t="shared" si="25"/>
        <v>0</v>
      </c>
      <c r="BH26" s="69">
        <f t="shared" si="26"/>
        <v>0</v>
      </c>
      <c r="BI26" s="70">
        <f t="shared" si="29"/>
        <v>0</v>
      </c>
      <c r="BJ26" s="71">
        <f t="shared" si="27"/>
        <v>1</v>
      </c>
      <c r="BK26" s="72">
        <f t="shared" si="28"/>
        <v>0</v>
      </c>
      <c r="BL26" s="179">
        <f t="shared" si="30"/>
        <v>0</v>
      </c>
    </row>
    <row r="27" spans="2:64" s="121" customFormat="1" ht="16.5" customHeight="1" x14ac:dyDescent="0.2">
      <c r="B27" s="120"/>
      <c r="C27" s="73" t="s">
        <v>134</v>
      </c>
      <c r="D27" s="73" t="s">
        <v>209</v>
      </c>
      <c r="E27" s="74" t="s">
        <v>655</v>
      </c>
      <c r="F27" s="75" t="s">
        <v>656</v>
      </c>
      <c r="G27" s="76" t="s">
        <v>578</v>
      </c>
      <c r="H27" s="77">
        <v>1</v>
      </c>
      <c r="I27" s="78"/>
      <c r="J27" s="77">
        <v>0</v>
      </c>
      <c r="K27" s="62" t="str">
        <f t="shared" si="0"/>
        <v/>
      </c>
      <c r="L27" s="63" t="str">
        <f t="shared" si="1"/>
        <v/>
      </c>
      <c r="M27" s="64"/>
      <c r="N27" s="65">
        <f t="shared" si="2"/>
        <v>0</v>
      </c>
      <c r="O27" s="64"/>
      <c r="P27" s="65">
        <f t="shared" si="3"/>
        <v>0</v>
      </c>
      <c r="Q27" s="66"/>
      <c r="R27" s="65">
        <f t="shared" si="4"/>
        <v>0</v>
      </c>
      <c r="S27" s="67"/>
      <c r="T27" s="65">
        <f t="shared" si="5"/>
        <v>0</v>
      </c>
      <c r="U27" s="67"/>
      <c r="V27" s="65">
        <f t="shared" si="6"/>
        <v>0</v>
      </c>
      <c r="W27" s="67"/>
      <c r="X27" s="65">
        <f t="shared" si="7"/>
        <v>0</v>
      </c>
      <c r="Y27" s="67"/>
      <c r="Z27" s="65">
        <f t="shared" si="8"/>
        <v>0</v>
      </c>
      <c r="AA27" s="67"/>
      <c r="AB27" s="65">
        <f t="shared" si="9"/>
        <v>0</v>
      </c>
      <c r="AC27" s="67"/>
      <c r="AD27" s="65">
        <f t="shared" si="10"/>
        <v>0</v>
      </c>
      <c r="AE27" s="67"/>
      <c r="AF27" s="65">
        <f t="shared" si="11"/>
        <v>0</v>
      </c>
      <c r="AG27" s="67"/>
      <c r="AH27" s="65">
        <f t="shared" si="12"/>
        <v>0</v>
      </c>
      <c r="AI27" s="67"/>
      <c r="AJ27" s="65">
        <f t="shared" si="13"/>
        <v>0</v>
      </c>
      <c r="AK27" s="67"/>
      <c r="AL27" s="65">
        <f t="shared" si="14"/>
        <v>0</v>
      </c>
      <c r="AM27" s="67"/>
      <c r="AN27" s="65">
        <f t="shared" si="15"/>
        <v>0</v>
      </c>
      <c r="AO27" s="67"/>
      <c r="AP27" s="65">
        <f t="shared" si="16"/>
        <v>0</v>
      </c>
      <c r="AQ27" s="67"/>
      <c r="AR27" s="65">
        <f t="shared" si="17"/>
        <v>0</v>
      </c>
      <c r="AS27" s="67"/>
      <c r="AT27" s="65">
        <f t="shared" si="18"/>
        <v>0</v>
      </c>
      <c r="AU27" s="67"/>
      <c r="AV27" s="65">
        <f t="shared" si="19"/>
        <v>0</v>
      </c>
      <c r="AW27" s="67"/>
      <c r="AX27" s="65">
        <f t="shared" si="20"/>
        <v>0</v>
      </c>
      <c r="AY27" s="67"/>
      <c r="AZ27" s="65">
        <f t="shared" si="21"/>
        <v>0</v>
      </c>
      <c r="BA27" s="67"/>
      <c r="BB27" s="65">
        <f t="shared" si="22"/>
        <v>0</v>
      </c>
      <c r="BC27" s="67"/>
      <c r="BD27" s="65">
        <f t="shared" si="23"/>
        <v>0</v>
      </c>
      <c r="BE27" s="67"/>
      <c r="BF27" s="65">
        <f t="shared" si="24"/>
        <v>0</v>
      </c>
      <c r="BG27" s="68">
        <f t="shared" si="25"/>
        <v>0</v>
      </c>
      <c r="BH27" s="69">
        <f t="shared" si="26"/>
        <v>0</v>
      </c>
      <c r="BI27" s="70">
        <f t="shared" si="29"/>
        <v>0</v>
      </c>
      <c r="BJ27" s="71">
        <f t="shared" si="27"/>
        <v>1</v>
      </c>
      <c r="BK27" s="72">
        <f t="shared" si="28"/>
        <v>0</v>
      </c>
      <c r="BL27" s="179">
        <f t="shared" si="30"/>
        <v>0</v>
      </c>
    </row>
    <row r="28" spans="2:64" s="121" customFormat="1" ht="16.5" customHeight="1" x14ac:dyDescent="0.2">
      <c r="B28" s="120"/>
      <c r="C28" s="73" t="s">
        <v>2</v>
      </c>
      <c r="D28" s="73" t="s">
        <v>209</v>
      </c>
      <c r="E28" s="74" t="s">
        <v>657</v>
      </c>
      <c r="F28" s="75" t="s">
        <v>658</v>
      </c>
      <c r="G28" s="76" t="s">
        <v>578</v>
      </c>
      <c r="H28" s="77">
        <v>1</v>
      </c>
      <c r="I28" s="78"/>
      <c r="J28" s="77">
        <v>0</v>
      </c>
      <c r="K28" s="62" t="str">
        <f t="shared" si="0"/>
        <v/>
      </c>
      <c r="L28" s="63" t="str">
        <f t="shared" si="1"/>
        <v/>
      </c>
      <c r="M28" s="64"/>
      <c r="N28" s="65">
        <f t="shared" si="2"/>
        <v>0</v>
      </c>
      <c r="O28" s="64"/>
      <c r="P28" s="65">
        <f t="shared" si="3"/>
        <v>0</v>
      </c>
      <c r="Q28" s="66"/>
      <c r="R28" s="65">
        <f t="shared" si="4"/>
        <v>0</v>
      </c>
      <c r="S28" s="67"/>
      <c r="T28" s="65">
        <f t="shared" si="5"/>
        <v>0</v>
      </c>
      <c r="U28" s="67"/>
      <c r="V28" s="65">
        <f t="shared" si="6"/>
        <v>0</v>
      </c>
      <c r="W28" s="67"/>
      <c r="X28" s="65">
        <f t="shared" si="7"/>
        <v>0</v>
      </c>
      <c r="Y28" s="67"/>
      <c r="Z28" s="65">
        <f t="shared" si="8"/>
        <v>0</v>
      </c>
      <c r="AA28" s="67"/>
      <c r="AB28" s="65">
        <f t="shared" si="9"/>
        <v>0</v>
      </c>
      <c r="AC28" s="67"/>
      <c r="AD28" s="65">
        <f t="shared" si="10"/>
        <v>0</v>
      </c>
      <c r="AE28" s="67"/>
      <c r="AF28" s="65">
        <f t="shared" si="11"/>
        <v>0</v>
      </c>
      <c r="AG28" s="67"/>
      <c r="AH28" s="65">
        <f t="shared" si="12"/>
        <v>0</v>
      </c>
      <c r="AI28" s="67"/>
      <c r="AJ28" s="65">
        <f t="shared" si="13"/>
        <v>0</v>
      </c>
      <c r="AK28" s="67"/>
      <c r="AL28" s="65">
        <f t="shared" si="14"/>
        <v>0</v>
      </c>
      <c r="AM28" s="67"/>
      <c r="AN28" s="65">
        <f t="shared" si="15"/>
        <v>0</v>
      </c>
      <c r="AO28" s="67"/>
      <c r="AP28" s="65">
        <f t="shared" si="16"/>
        <v>0</v>
      </c>
      <c r="AQ28" s="67"/>
      <c r="AR28" s="65">
        <f t="shared" si="17"/>
        <v>0</v>
      </c>
      <c r="AS28" s="67"/>
      <c r="AT28" s="65">
        <f t="shared" si="18"/>
        <v>0</v>
      </c>
      <c r="AU28" s="67"/>
      <c r="AV28" s="65">
        <f t="shared" si="19"/>
        <v>0</v>
      </c>
      <c r="AW28" s="67"/>
      <c r="AX28" s="65">
        <f t="shared" si="20"/>
        <v>0</v>
      </c>
      <c r="AY28" s="67"/>
      <c r="AZ28" s="65">
        <f t="shared" si="21"/>
        <v>0</v>
      </c>
      <c r="BA28" s="67"/>
      <c r="BB28" s="65">
        <f t="shared" si="22"/>
        <v>0</v>
      </c>
      <c r="BC28" s="67"/>
      <c r="BD28" s="65">
        <f t="shared" si="23"/>
        <v>0</v>
      </c>
      <c r="BE28" s="67"/>
      <c r="BF28" s="65">
        <f t="shared" si="24"/>
        <v>0</v>
      </c>
      <c r="BG28" s="68">
        <f t="shared" si="25"/>
        <v>0</v>
      </c>
      <c r="BH28" s="69">
        <f t="shared" si="26"/>
        <v>0</v>
      </c>
      <c r="BI28" s="70">
        <f t="shared" si="29"/>
        <v>0</v>
      </c>
      <c r="BJ28" s="71">
        <f t="shared" si="27"/>
        <v>1</v>
      </c>
      <c r="BK28" s="72">
        <f t="shared" si="28"/>
        <v>0</v>
      </c>
      <c r="BL28" s="179">
        <f t="shared" si="30"/>
        <v>0</v>
      </c>
    </row>
    <row r="29" spans="2:64" s="121" customFormat="1" ht="16.5" customHeight="1" x14ac:dyDescent="0.2">
      <c r="B29" s="120"/>
      <c r="C29" s="73" t="s">
        <v>141</v>
      </c>
      <c r="D29" s="73" t="s">
        <v>209</v>
      </c>
      <c r="E29" s="74" t="s">
        <v>659</v>
      </c>
      <c r="F29" s="75" t="s">
        <v>660</v>
      </c>
      <c r="G29" s="76" t="s">
        <v>578</v>
      </c>
      <c r="H29" s="77">
        <v>1</v>
      </c>
      <c r="I29" s="78"/>
      <c r="J29" s="77">
        <v>0</v>
      </c>
      <c r="K29" s="62" t="str">
        <f t="shared" si="0"/>
        <v/>
      </c>
      <c r="L29" s="63" t="str">
        <f t="shared" si="1"/>
        <v/>
      </c>
      <c r="M29" s="64"/>
      <c r="N29" s="65">
        <f t="shared" si="2"/>
        <v>0</v>
      </c>
      <c r="O29" s="64"/>
      <c r="P29" s="65">
        <f t="shared" si="3"/>
        <v>0</v>
      </c>
      <c r="Q29" s="66"/>
      <c r="R29" s="65">
        <f t="shared" si="4"/>
        <v>0</v>
      </c>
      <c r="S29" s="67"/>
      <c r="T29" s="65">
        <f t="shared" si="5"/>
        <v>0</v>
      </c>
      <c r="U29" s="67"/>
      <c r="V29" s="65">
        <f t="shared" si="6"/>
        <v>0</v>
      </c>
      <c r="W29" s="67"/>
      <c r="X29" s="65">
        <f t="shared" si="7"/>
        <v>0</v>
      </c>
      <c r="Y29" s="67"/>
      <c r="Z29" s="65">
        <f t="shared" si="8"/>
        <v>0</v>
      </c>
      <c r="AA29" s="67"/>
      <c r="AB29" s="65">
        <f t="shared" si="9"/>
        <v>0</v>
      </c>
      <c r="AC29" s="67"/>
      <c r="AD29" s="65">
        <f t="shared" si="10"/>
        <v>0</v>
      </c>
      <c r="AE29" s="67"/>
      <c r="AF29" s="65">
        <f t="shared" si="11"/>
        <v>0</v>
      </c>
      <c r="AG29" s="67"/>
      <c r="AH29" s="65">
        <f t="shared" si="12"/>
        <v>0</v>
      </c>
      <c r="AI29" s="67"/>
      <c r="AJ29" s="65">
        <f t="shared" si="13"/>
        <v>0</v>
      </c>
      <c r="AK29" s="67"/>
      <c r="AL29" s="65">
        <f t="shared" si="14"/>
        <v>0</v>
      </c>
      <c r="AM29" s="67"/>
      <c r="AN29" s="65">
        <f t="shared" si="15"/>
        <v>0</v>
      </c>
      <c r="AO29" s="67"/>
      <c r="AP29" s="65">
        <f t="shared" si="16"/>
        <v>0</v>
      </c>
      <c r="AQ29" s="67"/>
      <c r="AR29" s="65">
        <f t="shared" si="17"/>
        <v>0</v>
      </c>
      <c r="AS29" s="67"/>
      <c r="AT29" s="65">
        <f t="shared" si="18"/>
        <v>0</v>
      </c>
      <c r="AU29" s="67"/>
      <c r="AV29" s="65">
        <f t="shared" si="19"/>
        <v>0</v>
      </c>
      <c r="AW29" s="67"/>
      <c r="AX29" s="65">
        <f t="shared" si="20"/>
        <v>0</v>
      </c>
      <c r="AY29" s="67"/>
      <c r="AZ29" s="65">
        <f t="shared" si="21"/>
        <v>0</v>
      </c>
      <c r="BA29" s="67"/>
      <c r="BB29" s="65">
        <f t="shared" si="22"/>
        <v>0</v>
      </c>
      <c r="BC29" s="67"/>
      <c r="BD29" s="65">
        <f t="shared" si="23"/>
        <v>0</v>
      </c>
      <c r="BE29" s="67"/>
      <c r="BF29" s="65">
        <f t="shared" si="24"/>
        <v>0</v>
      </c>
      <c r="BG29" s="68">
        <f t="shared" si="25"/>
        <v>0</v>
      </c>
      <c r="BH29" s="69">
        <f t="shared" si="26"/>
        <v>0</v>
      </c>
      <c r="BI29" s="70">
        <f t="shared" si="29"/>
        <v>0</v>
      </c>
      <c r="BJ29" s="71">
        <f t="shared" si="27"/>
        <v>1</v>
      </c>
      <c r="BK29" s="72">
        <f t="shared" si="28"/>
        <v>0</v>
      </c>
      <c r="BL29" s="179">
        <f t="shared" si="30"/>
        <v>0</v>
      </c>
    </row>
    <row r="30" spans="2:64" s="121" customFormat="1" ht="16.5" customHeight="1" x14ac:dyDescent="0.2">
      <c r="B30" s="120"/>
      <c r="C30" s="73" t="s">
        <v>144</v>
      </c>
      <c r="D30" s="73" t="s">
        <v>209</v>
      </c>
      <c r="E30" s="74" t="s">
        <v>661</v>
      </c>
      <c r="F30" s="75" t="s">
        <v>662</v>
      </c>
      <c r="G30" s="76" t="s">
        <v>578</v>
      </c>
      <c r="H30" s="77">
        <v>1</v>
      </c>
      <c r="I30" s="78"/>
      <c r="J30" s="77">
        <v>0</v>
      </c>
      <c r="K30" s="62" t="str">
        <f t="shared" si="0"/>
        <v/>
      </c>
      <c r="L30" s="63" t="str">
        <f t="shared" si="1"/>
        <v/>
      </c>
      <c r="M30" s="64"/>
      <c r="N30" s="65">
        <f t="shared" si="2"/>
        <v>0</v>
      </c>
      <c r="O30" s="64"/>
      <c r="P30" s="65">
        <f t="shared" si="3"/>
        <v>0</v>
      </c>
      <c r="Q30" s="66"/>
      <c r="R30" s="65">
        <f t="shared" si="4"/>
        <v>0</v>
      </c>
      <c r="S30" s="67"/>
      <c r="T30" s="65">
        <f t="shared" si="5"/>
        <v>0</v>
      </c>
      <c r="U30" s="67"/>
      <c r="V30" s="65">
        <f t="shared" si="6"/>
        <v>0</v>
      </c>
      <c r="W30" s="67"/>
      <c r="X30" s="65">
        <f t="shared" si="7"/>
        <v>0</v>
      </c>
      <c r="Y30" s="67"/>
      <c r="Z30" s="65">
        <f t="shared" si="8"/>
        <v>0</v>
      </c>
      <c r="AA30" s="67"/>
      <c r="AB30" s="65">
        <f t="shared" si="9"/>
        <v>0</v>
      </c>
      <c r="AC30" s="67"/>
      <c r="AD30" s="65">
        <f t="shared" si="10"/>
        <v>0</v>
      </c>
      <c r="AE30" s="67"/>
      <c r="AF30" s="65">
        <f t="shared" si="11"/>
        <v>0</v>
      </c>
      <c r="AG30" s="67"/>
      <c r="AH30" s="65">
        <f t="shared" si="12"/>
        <v>0</v>
      </c>
      <c r="AI30" s="67"/>
      <c r="AJ30" s="65">
        <f t="shared" si="13"/>
        <v>0</v>
      </c>
      <c r="AK30" s="67"/>
      <c r="AL30" s="65">
        <f t="shared" si="14"/>
        <v>0</v>
      </c>
      <c r="AM30" s="67"/>
      <c r="AN30" s="65">
        <f t="shared" si="15"/>
        <v>0</v>
      </c>
      <c r="AO30" s="67"/>
      <c r="AP30" s="65">
        <f t="shared" si="16"/>
        <v>0</v>
      </c>
      <c r="AQ30" s="67"/>
      <c r="AR30" s="65">
        <f t="shared" si="17"/>
        <v>0</v>
      </c>
      <c r="AS30" s="67"/>
      <c r="AT30" s="65">
        <f t="shared" si="18"/>
        <v>0</v>
      </c>
      <c r="AU30" s="67"/>
      <c r="AV30" s="65">
        <f t="shared" si="19"/>
        <v>0</v>
      </c>
      <c r="AW30" s="67"/>
      <c r="AX30" s="65">
        <f t="shared" si="20"/>
        <v>0</v>
      </c>
      <c r="AY30" s="67"/>
      <c r="AZ30" s="65">
        <f t="shared" si="21"/>
        <v>0</v>
      </c>
      <c r="BA30" s="67"/>
      <c r="BB30" s="65">
        <f t="shared" si="22"/>
        <v>0</v>
      </c>
      <c r="BC30" s="67"/>
      <c r="BD30" s="65">
        <f t="shared" si="23"/>
        <v>0</v>
      </c>
      <c r="BE30" s="67"/>
      <c r="BF30" s="65">
        <f t="shared" si="24"/>
        <v>0</v>
      </c>
      <c r="BG30" s="68">
        <f t="shared" si="25"/>
        <v>0</v>
      </c>
      <c r="BH30" s="69">
        <f t="shared" si="26"/>
        <v>0</v>
      </c>
      <c r="BI30" s="70">
        <f t="shared" si="29"/>
        <v>0</v>
      </c>
      <c r="BJ30" s="71">
        <f t="shared" si="27"/>
        <v>1</v>
      </c>
      <c r="BK30" s="72">
        <f t="shared" si="28"/>
        <v>0</v>
      </c>
      <c r="BL30" s="179">
        <f t="shared" si="30"/>
        <v>0</v>
      </c>
    </row>
    <row r="31" spans="2:64" s="121" customFormat="1" ht="16.5" customHeight="1" x14ac:dyDescent="0.2">
      <c r="B31" s="120"/>
      <c r="C31" s="73" t="s">
        <v>147</v>
      </c>
      <c r="D31" s="73" t="s">
        <v>209</v>
      </c>
      <c r="E31" s="74" t="s">
        <v>663</v>
      </c>
      <c r="F31" s="75" t="s">
        <v>664</v>
      </c>
      <c r="G31" s="76" t="s">
        <v>578</v>
      </c>
      <c r="H31" s="77">
        <v>1</v>
      </c>
      <c r="I31" s="78"/>
      <c r="J31" s="77">
        <v>0</v>
      </c>
      <c r="K31" s="62" t="str">
        <f t="shared" si="0"/>
        <v/>
      </c>
      <c r="L31" s="63" t="str">
        <f t="shared" si="1"/>
        <v/>
      </c>
      <c r="M31" s="64"/>
      <c r="N31" s="65">
        <f t="shared" si="2"/>
        <v>0</v>
      </c>
      <c r="O31" s="64"/>
      <c r="P31" s="65">
        <f t="shared" si="3"/>
        <v>0</v>
      </c>
      <c r="Q31" s="66"/>
      <c r="R31" s="65">
        <f t="shared" si="4"/>
        <v>0</v>
      </c>
      <c r="S31" s="67"/>
      <c r="T31" s="65">
        <f t="shared" si="5"/>
        <v>0</v>
      </c>
      <c r="U31" s="67"/>
      <c r="V31" s="65">
        <f t="shared" si="6"/>
        <v>0</v>
      </c>
      <c r="W31" s="67"/>
      <c r="X31" s="65">
        <f t="shared" si="7"/>
        <v>0</v>
      </c>
      <c r="Y31" s="67"/>
      <c r="Z31" s="65">
        <f t="shared" si="8"/>
        <v>0</v>
      </c>
      <c r="AA31" s="67"/>
      <c r="AB31" s="65">
        <f t="shared" si="9"/>
        <v>0</v>
      </c>
      <c r="AC31" s="67"/>
      <c r="AD31" s="65">
        <f t="shared" si="10"/>
        <v>0</v>
      </c>
      <c r="AE31" s="67"/>
      <c r="AF31" s="65">
        <f t="shared" si="11"/>
        <v>0</v>
      </c>
      <c r="AG31" s="67"/>
      <c r="AH31" s="65">
        <f t="shared" si="12"/>
        <v>0</v>
      </c>
      <c r="AI31" s="67"/>
      <c r="AJ31" s="65">
        <f t="shared" si="13"/>
        <v>0</v>
      </c>
      <c r="AK31" s="67"/>
      <c r="AL31" s="65">
        <f t="shared" si="14"/>
        <v>0</v>
      </c>
      <c r="AM31" s="67"/>
      <c r="AN31" s="65">
        <f t="shared" si="15"/>
        <v>0</v>
      </c>
      <c r="AO31" s="67"/>
      <c r="AP31" s="65">
        <f t="shared" si="16"/>
        <v>0</v>
      </c>
      <c r="AQ31" s="67"/>
      <c r="AR31" s="65">
        <f t="shared" si="17"/>
        <v>0</v>
      </c>
      <c r="AS31" s="67"/>
      <c r="AT31" s="65">
        <f t="shared" si="18"/>
        <v>0</v>
      </c>
      <c r="AU31" s="67"/>
      <c r="AV31" s="65">
        <f t="shared" si="19"/>
        <v>0</v>
      </c>
      <c r="AW31" s="67"/>
      <c r="AX31" s="65">
        <f t="shared" si="20"/>
        <v>0</v>
      </c>
      <c r="AY31" s="67"/>
      <c r="AZ31" s="65">
        <f t="shared" si="21"/>
        <v>0</v>
      </c>
      <c r="BA31" s="67"/>
      <c r="BB31" s="65">
        <f t="shared" si="22"/>
        <v>0</v>
      </c>
      <c r="BC31" s="67"/>
      <c r="BD31" s="65">
        <f t="shared" si="23"/>
        <v>0</v>
      </c>
      <c r="BE31" s="67"/>
      <c r="BF31" s="65">
        <f t="shared" si="24"/>
        <v>0</v>
      </c>
      <c r="BG31" s="68">
        <f t="shared" si="25"/>
        <v>0</v>
      </c>
      <c r="BH31" s="69">
        <f t="shared" si="26"/>
        <v>0</v>
      </c>
      <c r="BI31" s="70">
        <f t="shared" si="29"/>
        <v>0</v>
      </c>
      <c r="BJ31" s="71">
        <f t="shared" si="27"/>
        <v>1</v>
      </c>
      <c r="BK31" s="72">
        <f t="shared" si="28"/>
        <v>0</v>
      </c>
      <c r="BL31" s="179">
        <f t="shared" si="30"/>
        <v>0</v>
      </c>
    </row>
    <row r="32" spans="2:64" s="121" customFormat="1" ht="16.5" customHeight="1" x14ac:dyDescent="0.2">
      <c r="B32" s="120"/>
      <c r="C32" s="73" t="s">
        <v>151</v>
      </c>
      <c r="D32" s="73" t="s">
        <v>209</v>
      </c>
      <c r="E32" s="74" t="s">
        <v>665</v>
      </c>
      <c r="F32" s="75" t="s">
        <v>666</v>
      </c>
      <c r="G32" s="76" t="s">
        <v>578</v>
      </c>
      <c r="H32" s="77">
        <v>1</v>
      </c>
      <c r="I32" s="78"/>
      <c r="J32" s="77">
        <v>0</v>
      </c>
      <c r="K32" s="62" t="str">
        <f t="shared" si="0"/>
        <v/>
      </c>
      <c r="L32" s="63" t="str">
        <f t="shared" si="1"/>
        <v/>
      </c>
      <c r="M32" s="64"/>
      <c r="N32" s="65">
        <f t="shared" si="2"/>
        <v>0</v>
      </c>
      <c r="O32" s="64"/>
      <c r="P32" s="65">
        <f t="shared" si="3"/>
        <v>0</v>
      </c>
      <c r="Q32" s="66"/>
      <c r="R32" s="65">
        <f t="shared" si="4"/>
        <v>0</v>
      </c>
      <c r="S32" s="67"/>
      <c r="T32" s="65">
        <f t="shared" si="5"/>
        <v>0</v>
      </c>
      <c r="U32" s="67"/>
      <c r="V32" s="65">
        <f t="shared" si="6"/>
        <v>0</v>
      </c>
      <c r="W32" s="67"/>
      <c r="X32" s="65">
        <f t="shared" si="7"/>
        <v>0</v>
      </c>
      <c r="Y32" s="67"/>
      <c r="Z32" s="65">
        <f t="shared" si="8"/>
        <v>0</v>
      </c>
      <c r="AA32" s="67"/>
      <c r="AB32" s="65">
        <f t="shared" si="9"/>
        <v>0</v>
      </c>
      <c r="AC32" s="67"/>
      <c r="AD32" s="65">
        <f t="shared" si="10"/>
        <v>0</v>
      </c>
      <c r="AE32" s="67"/>
      <c r="AF32" s="65">
        <f t="shared" si="11"/>
        <v>0</v>
      </c>
      <c r="AG32" s="67"/>
      <c r="AH32" s="65">
        <f t="shared" si="12"/>
        <v>0</v>
      </c>
      <c r="AI32" s="67"/>
      <c r="AJ32" s="65">
        <f t="shared" si="13"/>
        <v>0</v>
      </c>
      <c r="AK32" s="67"/>
      <c r="AL32" s="65">
        <f t="shared" si="14"/>
        <v>0</v>
      </c>
      <c r="AM32" s="67"/>
      <c r="AN32" s="65">
        <f t="shared" si="15"/>
        <v>0</v>
      </c>
      <c r="AO32" s="67"/>
      <c r="AP32" s="65">
        <f t="shared" si="16"/>
        <v>0</v>
      </c>
      <c r="AQ32" s="67"/>
      <c r="AR32" s="65">
        <f t="shared" si="17"/>
        <v>0</v>
      </c>
      <c r="AS32" s="67"/>
      <c r="AT32" s="65">
        <f t="shared" si="18"/>
        <v>0</v>
      </c>
      <c r="AU32" s="67"/>
      <c r="AV32" s="65">
        <f t="shared" si="19"/>
        <v>0</v>
      </c>
      <c r="AW32" s="67"/>
      <c r="AX32" s="65">
        <f t="shared" si="20"/>
        <v>0</v>
      </c>
      <c r="AY32" s="67"/>
      <c r="AZ32" s="65">
        <f t="shared" si="21"/>
        <v>0</v>
      </c>
      <c r="BA32" s="67"/>
      <c r="BB32" s="65">
        <f t="shared" si="22"/>
        <v>0</v>
      </c>
      <c r="BC32" s="67"/>
      <c r="BD32" s="65">
        <f t="shared" si="23"/>
        <v>0</v>
      </c>
      <c r="BE32" s="67"/>
      <c r="BF32" s="65">
        <f t="shared" si="24"/>
        <v>0</v>
      </c>
      <c r="BG32" s="68">
        <f t="shared" si="25"/>
        <v>0</v>
      </c>
      <c r="BH32" s="69">
        <f t="shared" si="26"/>
        <v>0</v>
      </c>
      <c r="BI32" s="70">
        <f t="shared" si="29"/>
        <v>0</v>
      </c>
      <c r="BJ32" s="71">
        <f t="shared" si="27"/>
        <v>1</v>
      </c>
      <c r="BK32" s="72">
        <f t="shared" si="28"/>
        <v>0</v>
      </c>
      <c r="BL32" s="179">
        <f t="shared" si="30"/>
        <v>0</v>
      </c>
    </row>
    <row r="33" spans="2:64" s="121" customFormat="1" ht="16.5" customHeight="1" x14ac:dyDescent="0.2">
      <c r="B33" s="120"/>
      <c r="C33" s="73" t="s">
        <v>154</v>
      </c>
      <c r="D33" s="73" t="s">
        <v>209</v>
      </c>
      <c r="E33" s="74" t="s">
        <v>667</v>
      </c>
      <c r="F33" s="75" t="s">
        <v>668</v>
      </c>
      <c r="G33" s="76" t="s">
        <v>578</v>
      </c>
      <c r="H33" s="77">
        <v>1</v>
      </c>
      <c r="I33" s="78"/>
      <c r="J33" s="77">
        <v>0</v>
      </c>
      <c r="K33" s="62" t="str">
        <f t="shared" si="0"/>
        <v/>
      </c>
      <c r="L33" s="63" t="str">
        <f t="shared" si="1"/>
        <v/>
      </c>
      <c r="M33" s="64"/>
      <c r="N33" s="65">
        <f t="shared" si="2"/>
        <v>0</v>
      </c>
      <c r="O33" s="64"/>
      <c r="P33" s="65">
        <f t="shared" si="3"/>
        <v>0</v>
      </c>
      <c r="Q33" s="66"/>
      <c r="R33" s="65">
        <f t="shared" si="4"/>
        <v>0</v>
      </c>
      <c r="S33" s="67"/>
      <c r="T33" s="65">
        <f t="shared" si="5"/>
        <v>0</v>
      </c>
      <c r="U33" s="67"/>
      <c r="V33" s="65">
        <f t="shared" si="6"/>
        <v>0</v>
      </c>
      <c r="W33" s="67"/>
      <c r="X33" s="65">
        <f t="shared" si="7"/>
        <v>0</v>
      </c>
      <c r="Y33" s="67"/>
      <c r="Z33" s="65">
        <f t="shared" si="8"/>
        <v>0</v>
      </c>
      <c r="AA33" s="67"/>
      <c r="AB33" s="65">
        <f t="shared" si="9"/>
        <v>0</v>
      </c>
      <c r="AC33" s="67"/>
      <c r="AD33" s="65">
        <f t="shared" si="10"/>
        <v>0</v>
      </c>
      <c r="AE33" s="67"/>
      <c r="AF33" s="65">
        <f t="shared" si="11"/>
        <v>0</v>
      </c>
      <c r="AG33" s="67"/>
      <c r="AH33" s="65">
        <f t="shared" si="12"/>
        <v>0</v>
      </c>
      <c r="AI33" s="67"/>
      <c r="AJ33" s="65">
        <f t="shared" si="13"/>
        <v>0</v>
      </c>
      <c r="AK33" s="67"/>
      <c r="AL33" s="65">
        <f t="shared" si="14"/>
        <v>0</v>
      </c>
      <c r="AM33" s="67"/>
      <c r="AN33" s="65">
        <f t="shared" si="15"/>
        <v>0</v>
      </c>
      <c r="AO33" s="67"/>
      <c r="AP33" s="65">
        <f t="shared" si="16"/>
        <v>0</v>
      </c>
      <c r="AQ33" s="67"/>
      <c r="AR33" s="65">
        <f t="shared" si="17"/>
        <v>0</v>
      </c>
      <c r="AS33" s="67"/>
      <c r="AT33" s="65">
        <f t="shared" si="18"/>
        <v>0</v>
      </c>
      <c r="AU33" s="67"/>
      <c r="AV33" s="65">
        <f t="shared" si="19"/>
        <v>0</v>
      </c>
      <c r="AW33" s="67"/>
      <c r="AX33" s="65">
        <f t="shared" si="20"/>
        <v>0</v>
      </c>
      <c r="AY33" s="67"/>
      <c r="AZ33" s="65">
        <f t="shared" si="21"/>
        <v>0</v>
      </c>
      <c r="BA33" s="67"/>
      <c r="BB33" s="65">
        <f t="shared" si="22"/>
        <v>0</v>
      </c>
      <c r="BC33" s="67"/>
      <c r="BD33" s="65">
        <f t="shared" si="23"/>
        <v>0</v>
      </c>
      <c r="BE33" s="67"/>
      <c r="BF33" s="65">
        <f t="shared" si="24"/>
        <v>0</v>
      </c>
      <c r="BG33" s="68">
        <f t="shared" si="25"/>
        <v>0</v>
      </c>
      <c r="BH33" s="69">
        <f t="shared" si="26"/>
        <v>0</v>
      </c>
      <c r="BI33" s="70">
        <f t="shared" si="29"/>
        <v>0</v>
      </c>
      <c r="BJ33" s="71">
        <f t="shared" si="27"/>
        <v>1</v>
      </c>
      <c r="BK33" s="72">
        <f t="shared" si="28"/>
        <v>0</v>
      </c>
      <c r="BL33" s="179">
        <f t="shared" si="30"/>
        <v>0</v>
      </c>
    </row>
    <row r="34" spans="2:64" s="121" customFormat="1" ht="16.5" customHeight="1" x14ac:dyDescent="0.2">
      <c r="B34" s="120"/>
      <c r="C34" s="73" t="s">
        <v>1</v>
      </c>
      <c r="D34" s="73" t="s">
        <v>209</v>
      </c>
      <c r="E34" s="74" t="s">
        <v>669</v>
      </c>
      <c r="F34" s="75" t="s">
        <v>670</v>
      </c>
      <c r="G34" s="76" t="s">
        <v>578</v>
      </c>
      <c r="H34" s="77">
        <v>1</v>
      </c>
      <c r="I34" s="78"/>
      <c r="J34" s="77">
        <v>0</v>
      </c>
      <c r="K34" s="62" t="str">
        <f t="shared" si="0"/>
        <v/>
      </c>
      <c r="L34" s="63" t="str">
        <f t="shared" si="1"/>
        <v/>
      </c>
      <c r="M34" s="64"/>
      <c r="N34" s="65">
        <f t="shared" si="2"/>
        <v>0</v>
      </c>
      <c r="O34" s="64"/>
      <c r="P34" s="65">
        <f t="shared" si="3"/>
        <v>0</v>
      </c>
      <c r="Q34" s="66"/>
      <c r="R34" s="65">
        <f t="shared" si="4"/>
        <v>0</v>
      </c>
      <c r="S34" s="67"/>
      <c r="T34" s="65">
        <f t="shared" si="5"/>
        <v>0</v>
      </c>
      <c r="U34" s="67"/>
      <c r="V34" s="65">
        <f t="shared" si="6"/>
        <v>0</v>
      </c>
      <c r="W34" s="67"/>
      <c r="X34" s="65">
        <f t="shared" si="7"/>
        <v>0</v>
      </c>
      <c r="Y34" s="67"/>
      <c r="Z34" s="65">
        <f t="shared" si="8"/>
        <v>0</v>
      </c>
      <c r="AA34" s="67"/>
      <c r="AB34" s="65">
        <f t="shared" si="9"/>
        <v>0</v>
      </c>
      <c r="AC34" s="67"/>
      <c r="AD34" s="65">
        <f t="shared" si="10"/>
        <v>0</v>
      </c>
      <c r="AE34" s="67"/>
      <c r="AF34" s="65">
        <f t="shared" si="11"/>
        <v>0</v>
      </c>
      <c r="AG34" s="67"/>
      <c r="AH34" s="65">
        <f t="shared" si="12"/>
        <v>0</v>
      </c>
      <c r="AI34" s="67"/>
      <c r="AJ34" s="65">
        <f t="shared" si="13"/>
        <v>0</v>
      </c>
      <c r="AK34" s="67"/>
      <c r="AL34" s="65">
        <f t="shared" si="14"/>
        <v>0</v>
      </c>
      <c r="AM34" s="67"/>
      <c r="AN34" s="65">
        <f t="shared" si="15"/>
        <v>0</v>
      </c>
      <c r="AO34" s="67"/>
      <c r="AP34" s="65">
        <f t="shared" si="16"/>
        <v>0</v>
      </c>
      <c r="AQ34" s="67"/>
      <c r="AR34" s="65">
        <f t="shared" si="17"/>
        <v>0</v>
      </c>
      <c r="AS34" s="67"/>
      <c r="AT34" s="65">
        <f t="shared" si="18"/>
        <v>0</v>
      </c>
      <c r="AU34" s="67"/>
      <c r="AV34" s="65">
        <f t="shared" si="19"/>
        <v>0</v>
      </c>
      <c r="AW34" s="67"/>
      <c r="AX34" s="65">
        <f t="shared" si="20"/>
        <v>0</v>
      </c>
      <c r="AY34" s="67"/>
      <c r="AZ34" s="65">
        <f t="shared" si="21"/>
        <v>0</v>
      </c>
      <c r="BA34" s="67"/>
      <c r="BB34" s="65">
        <f t="shared" si="22"/>
        <v>0</v>
      </c>
      <c r="BC34" s="67"/>
      <c r="BD34" s="65">
        <f t="shared" si="23"/>
        <v>0</v>
      </c>
      <c r="BE34" s="67"/>
      <c r="BF34" s="65">
        <f t="shared" si="24"/>
        <v>0</v>
      </c>
      <c r="BG34" s="68">
        <f t="shared" si="25"/>
        <v>0</v>
      </c>
      <c r="BH34" s="69">
        <f t="shared" si="26"/>
        <v>0</v>
      </c>
      <c r="BI34" s="70">
        <f t="shared" si="29"/>
        <v>0</v>
      </c>
      <c r="BJ34" s="71">
        <f t="shared" si="27"/>
        <v>1</v>
      </c>
      <c r="BK34" s="72">
        <f t="shared" si="28"/>
        <v>0</v>
      </c>
      <c r="BL34" s="179">
        <f t="shared" si="30"/>
        <v>0</v>
      </c>
    </row>
    <row r="35" spans="2:64" s="121" customFormat="1" ht="16.5" customHeight="1" x14ac:dyDescent="0.2">
      <c r="B35" s="120"/>
      <c r="C35" s="73" t="s">
        <v>159</v>
      </c>
      <c r="D35" s="73" t="s">
        <v>209</v>
      </c>
      <c r="E35" s="74" t="s">
        <v>671</v>
      </c>
      <c r="F35" s="75" t="s">
        <v>672</v>
      </c>
      <c r="G35" s="76" t="s">
        <v>578</v>
      </c>
      <c r="H35" s="77">
        <v>1</v>
      </c>
      <c r="I35" s="78"/>
      <c r="J35" s="77">
        <v>0</v>
      </c>
      <c r="K35" s="62" t="str">
        <f t="shared" si="0"/>
        <v/>
      </c>
      <c r="L35" s="63" t="str">
        <f t="shared" si="1"/>
        <v/>
      </c>
      <c r="M35" s="64"/>
      <c r="N35" s="65">
        <f t="shared" si="2"/>
        <v>0</v>
      </c>
      <c r="O35" s="64"/>
      <c r="P35" s="65">
        <f t="shared" si="3"/>
        <v>0</v>
      </c>
      <c r="Q35" s="66"/>
      <c r="R35" s="65">
        <f t="shared" si="4"/>
        <v>0</v>
      </c>
      <c r="S35" s="67"/>
      <c r="T35" s="65">
        <f t="shared" si="5"/>
        <v>0</v>
      </c>
      <c r="U35" s="67"/>
      <c r="V35" s="65">
        <f t="shared" si="6"/>
        <v>0</v>
      </c>
      <c r="W35" s="67"/>
      <c r="X35" s="65">
        <f t="shared" si="7"/>
        <v>0</v>
      </c>
      <c r="Y35" s="67"/>
      <c r="Z35" s="65">
        <f t="shared" si="8"/>
        <v>0</v>
      </c>
      <c r="AA35" s="67"/>
      <c r="AB35" s="65">
        <f t="shared" si="9"/>
        <v>0</v>
      </c>
      <c r="AC35" s="67"/>
      <c r="AD35" s="65">
        <f t="shared" si="10"/>
        <v>0</v>
      </c>
      <c r="AE35" s="67"/>
      <c r="AF35" s="65">
        <f t="shared" si="11"/>
        <v>0</v>
      </c>
      <c r="AG35" s="67"/>
      <c r="AH35" s="65">
        <f t="shared" si="12"/>
        <v>0</v>
      </c>
      <c r="AI35" s="67"/>
      <c r="AJ35" s="65">
        <f t="shared" si="13"/>
        <v>0</v>
      </c>
      <c r="AK35" s="67"/>
      <c r="AL35" s="65">
        <f t="shared" si="14"/>
        <v>0</v>
      </c>
      <c r="AM35" s="67"/>
      <c r="AN35" s="65">
        <f t="shared" si="15"/>
        <v>0</v>
      </c>
      <c r="AO35" s="67"/>
      <c r="AP35" s="65">
        <f t="shared" si="16"/>
        <v>0</v>
      </c>
      <c r="AQ35" s="67"/>
      <c r="AR35" s="65">
        <f t="shared" si="17"/>
        <v>0</v>
      </c>
      <c r="AS35" s="67"/>
      <c r="AT35" s="65">
        <f t="shared" si="18"/>
        <v>0</v>
      </c>
      <c r="AU35" s="67"/>
      <c r="AV35" s="65">
        <f t="shared" si="19"/>
        <v>0</v>
      </c>
      <c r="AW35" s="67"/>
      <c r="AX35" s="65">
        <f t="shared" si="20"/>
        <v>0</v>
      </c>
      <c r="AY35" s="67"/>
      <c r="AZ35" s="65">
        <f t="shared" si="21"/>
        <v>0</v>
      </c>
      <c r="BA35" s="67"/>
      <c r="BB35" s="65">
        <f t="shared" si="22"/>
        <v>0</v>
      </c>
      <c r="BC35" s="67"/>
      <c r="BD35" s="65">
        <f t="shared" si="23"/>
        <v>0</v>
      </c>
      <c r="BE35" s="67"/>
      <c r="BF35" s="65">
        <f t="shared" si="24"/>
        <v>0</v>
      </c>
      <c r="BG35" s="68">
        <f t="shared" si="25"/>
        <v>0</v>
      </c>
      <c r="BH35" s="69">
        <f t="shared" si="26"/>
        <v>0</v>
      </c>
      <c r="BI35" s="70">
        <f t="shared" si="29"/>
        <v>0</v>
      </c>
      <c r="BJ35" s="71">
        <f t="shared" si="27"/>
        <v>1</v>
      </c>
      <c r="BK35" s="72">
        <f t="shared" si="28"/>
        <v>0</v>
      </c>
      <c r="BL35" s="179">
        <f t="shared" si="30"/>
        <v>0</v>
      </c>
    </row>
    <row r="36" spans="2:64" s="121" customFormat="1" ht="16.5" customHeight="1" x14ac:dyDescent="0.2">
      <c r="B36" s="120"/>
      <c r="C36" s="73" t="s">
        <v>162</v>
      </c>
      <c r="D36" s="73" t="s">
        <v>209</v>
      </c>
      <c r="E36" s="74" t="s">
        <v>673</v>
      </c>
      <c r="F36" s="75" t="s">
        <v>674</v>
      </c>
      <c r="G36" s="76" t="s">
        <v>578</v>
      </c>
      <c r="H36" s="77">
        <v>2</v>
      </c>
      <c r="I36" s="78"/>
      <c r="J36" s="77">
        <v>0</v>
      </c>
      <c r="K36" s="62" t="str">
        <f t="shared" si="0"/>
        <v/>
      </c>
      <c r="L36" s="63" t="str">
        <f t="shared" si="1"/>
        <v/>
      </c>
      <c r="M36" s="64"/>
      <c r="N36" s="65">
        <f t="shared" si="2"/>
        <v>0</v>
      </c>
      <c r="O36" s="64"/>
      <c r="P36" s="65">
        <f t="shared" si="3"/>
        <v>0</v>
      </c>
      <c r="Q36" s="66"/>
      <c r="R36" s="65">
        <f t="shared" si="4"/>
        <v>0</v>
      </c>
      <c r="S36" s="67"/>
      <c r="T36" s="65">
        <f t="shared" si="5"/>
        <v>0</v>
      </c>
      <c r="U36" s="67"/>
      <c r="V36" s="65">
        <f t="shared" si="6"/>
        <v>0</v>
      </c>
      <c r="W36" s="67"/>
      <c r="X36" s="65">
        <f t="shared" si="7"/>
        <v>0</v>
      </c>
      <c r="Y36" s="67"/>
      <c r="Z36" s="65">
        <f t="shared" si="8"/>
        <v>0</v>
      </c>
      <c r="AA36" s="67"/>
      <c r="AB36" s="65">
        <f t="shared" si="9"/>
        <v>0</v>
      </c>
      <c r="AC36" s="67"/>
      <c r="AD36" s="65">
        <f t="shared" si="10"/>
        <v>0</v>
      </c>
      <c r="AE36" s="67"/>
      <c r="AF36" s="65">
        <f t="shared" si="11"/>
        <v>0</v>
      </c>
      <c r="AG36" s="67"/>
      <c r="AH36" s="65">
        <f t="shared" si="12"/>
        <v>0</v>
      </c>
      <c r="AI36" s="67"/>
      <c r="AJ36" s="65">
        <f t="shared" si="13"/>
        <v>0</v>
      </c>
      <c r="AK36" s="67"/>
      <c r="AL36" s="65">
        <f t="shared" si="14"/>
        <v>0</v>
      </c>
      <c r="AM36" s="67"/>
      <c r="AN36" s="65">
        <f t="shared" si="15"/>
        <v>0</v>
      </c>
      <c r="AO36" s="67"/>
      <c r="AP36" s="65">
        <f t="shared" si="16"/>
        <v>0</v>
      </c>
      <c r="AQ36" s="67"/>
      <c r="AR36" s="65">
        <f t="shared" si="17"/>
        <v>0</v>
      </c>
      <c r="AS36" s="67"/>
      <c r="AT36" s="65">
        <f t="shared" si="18"/>
        <v>0</v>
      </c>
      <c r="AU36" s="67"/>
      <c r="AV36" s="65">
        <f t="shared" si="19"/>
        <v>0</v>
      </c>
      <c r="AW36" s="67"/>
      <c r="AX36" s="65">
        <f t="shared" si="20"/>
        <v>0</v>
      </c>
      <c r="AY36" s="67"/>
      <c r="AZ36" s="65">
        <f t="shared" si="21"/>
        <v>0</v>
      </c>
      <c r="BA36" s="67"/>
      <c r="BB36" s="65">
        <f t="shared" si="22"/>
        <v>0</v>
      </c>
      <c r="BC36" s="67"/>
      <c r="BD36" s="65">
        <f t="shared" si="23"/>
        <v>0</v>
      </c>
      <c r="BE36" s="67"/>
      <c r="BF36" s="65">
        <f t="shared" si="24"/>
        <v>0</v>
      </c>
      <c r="BG36" s="68">
        <f t="shared" si="25"/>
        <v>0</v>
      </c>
      <c r="BH36" s="69">
        <f t="shared" si="26"/>
        <v>0</v>
      </c>
      <c r="BI36" s="70">
        <f t="shared" si="29"/>
        <v>0</v>
      </c>
      <c r="BJ36" s="71">
        <f t="shared" si="27"/>
        <v>2</v>
      </c>
      <c r="BK36" s="72">
        <f t="shared" si="28"/>
        <v>0</v>
      </c>
      <c r="BL36" s="179">
        <f t="shared" si="30"/>
        <v>0</v>
      </c>
    </row>
    <row r="37" spans="2:64" s="121" customFormat="1" ht="16.5" customHeight="1" x14ac:dyDescent="0.2">
      <c r="B37" s="120"/>
      <c r="C37" s="73" t="s">
        <v>165</v>
      </c>
      <c r="D37" s="73" t="s">
        <v>209</v>
      </c>
      <c r="E37" s="74" t="s">
        <v>675</v>
      </c>
      <c r="F37" s="75" t="s">
        <v>676</v>
      </c>
      <c r="G37" s="76" t="s">
        <v>578</v>
      </c>
      <c r="H37" s="77">
        <v>2</v>
      </c>
      <c r="I37" s="78"/>
      <c r="J37" s="77">
        <v>0</v>
      </c>
      <c r="K37" s="62" t="str">
        <f t="shared" si="0"/>
        <v/>
      </c>
      <c r="L37" s="63" t="str">
        <f t="shared" si="1"/>
        <v/>
      </c>
      <c r="M37" s="64"/>
      <c r="N37" s="65">
        <f t="shared" si="2"/>
        <v>0</v>
      </c>
      <c r="O37" s="64"/>
      <c r="P37" s="65">
        <f t="shared" si="3"/>
        <v>0</v>
      </c>
      <c r="Q37" s="66"/>
      <c r="R37" s="65">
        <f t="shared" si="4"/>
        <v>0</v>
      </c>
      <c r="S37" s="67"/>
      <c r="T37" s="65">
        <f t="shared" si="5"/>
        <v>0</v>
      </c>
      <c r="U37" s="67"/>
      <c r="V37" s="65">
        <f t="shared" si="6"/>
        <v>0</v>
      </c>
      <c r="W37" s="67"/>
      <c r="X37" s="65">
        <f t="shared" si="7"/>
        <v>0</v>
      </c>
      <c r="Y37" s="67"/>
      <c r="Z37" s="65">
        <f t="shared" si="8"/>
        <v>0</v>
      </c>
      <c r="AA37" s="67"/>
      <c r="AB37" s="65">
        <f t="shared" si="9"/>
        <v>0</v>
      </c>
      <c r="AC37" s="67"/>
      <c r="AD37" s="65">
        <f t="shared" si="10"/>
        <v>0</v>
      </c>
      <c r="AE37" s="67"/>
      <c r="AF37" s="65">
        <f t="shared" si="11"/>
        <v>0</v>
      </c>
      <c r="AG37" s="67"/>
      <c r="AH37" s="65">
        <f t="shared" si="12"/>
        <v>0</v>
      </c>
      <c r="AI37" s="67"/>
      <c r="AJ37" s="65">
        <f t="shared" si="13"/>
        <v>0</v>
      </c>
      <c r="AK37" s="67"/>
      <c r="AL37" s="65">
        <f t="shared" si="14"/>
        <v>0</v>
      </c>
      <c r="AM37" s="67"/>
      <c r="AN37" s="65">
        <f t="shared" si="15"/>
        <v>0</v>
      </c>
      <c r="AO37" s="67"/>
      <c r="AP37" s="65">
        <f t="shared" si="16"/>
        <v>0</v>
      </c>
      <c r="AQ37" s="67"/>
      <c r="AR37" s="65">
        <f t="shared" si="17"/>
        <v>0</v>
      </c>
      <c r="AS37" s="67"/>
      <c r="AT37" s="65">
        <f t="shared" si="18"/>
        <v>0</v>
      </c>
      <c r="AU37" s="67"/>
      <c r="AV37" s="65">
        <f t="shared" si="19"/>
        <v>0</v>
      </c>
      <c r="AW37" s="67"/>
      <c r="AX37" s="65">
        <f t="shared" si="20"/>
        <v>0</v>
      </c>
      <c r="AY37" s="67"/>
      <c r="AZ37" s="65">
        <f t="shared" si="21"/>
        <v>0</v>
      </c>
      <c r="BA37" s="67"/>
      <c r="BB37" s="65">
        <f t="shared" si="22"/>
        <v>0</v>
      </c>
      <c r="BC37" s="67"/>
      <c r="BD37" s="65">
        <f t="shared" si="23"/>
        <v>0</v>
      </c>
      <c r="BE37" s="67"/>
      <c r="BF37" s="65">
        <f t="shared" si="24"/>
        <v>0</v>
      </c>
      <c r="BG37" s="68">
        <f t="shared" si="25"/>
        <v>0</v>
      </c>
      <c r="BH37" s="69">
        <f t="shared" si="26"/>
        <v>0</v>
      </c>
      <c r="BI37" s="70">
        <f t="shared" si="29"/>
        <v>0</v>
      </c>
      <c r="BJ37" s="71">
        <f t="shared" si="27"/>
        <v>2</v>
      </c>
      <c r="BK37" s="72">
        <f t="shared" si="28"/>
        <v>0</v>
      </c>
      <c r="BL37" s="179">
        <f t="shared" si="30"/>
        <v>0</v>
      </c>
    </row>
    <row r="38" spans="2:64" s="121" customFormat="1" ht="16.5" customHeight="1" x14ac:dyDescent="0.2">
      <c r="B38" s="120"/>
      <c r="C38" s="73" t="s">
        <v>168</v>
      </c>
      <c r="D38" s="73" t="s">
        <v>209</v>
      </c>
      <c r="E38" s="74" t="s">
        <v>677</v>
      </c>
      <c r="F38" s="75" t="s">
        <v>678</v>
      </c>
      <c r="G38" s="76" t="s">
        <v>578</v>
      </c>
      <c r="H38" s="77">
        <v>2</v>
      </c>
      <c r="I38" s="78"/>
      <c r="J38" s="77">
        <v>0</v>
      </c>
      <c r="K38" s="62" t="str">
        <f t="shared" si="0"/>
        <v/>
      </c>
      <c r="L38" s="63" t="str">
        <f t="shared" si="1"/>
        <v/>
      </c>
      <c r="M38" s="64"/>
      <c r="N38" s="65">
        <f t="shared" si="2"/>
        <v>0</v>
      </c>
      <c r="O38" s="64"/>
      <c r="P38" s="65">
        <f t="shared" si="3"/>
        <v>0</v>
      </c>
      <c r="Q38" s="66"/>
      <c r="R38" s="65">
        <f t="shared" si="4"/>
        <v>0</v>
      </c>
      <c r="S38" s="67"/>
      <c r="T38" s="65">
        <f t="shared" si="5"/>
        <v>0</v>
      </c>
      <c r="U38" s="67"/>
      <c r="V38" s="65">
        <f t="shared" si="6"/>
        <v>0</v>
      </c>
      <c r="W38" s="67"/>
      <c r="X38" s="65">
        <f t="shared" si="7"/>
        <v>0</v>
      </c>
      <c r="Y38" s="67"/>
      <c r="Z38" s="65">
        <f t="shared" si="8"/>
        <v>0</v>
      </c>
      <c r="AA38" s="67"/>
      <c r="AB38" s="65">
        <f t="shared" si="9"/>
        <v>0</v>
      </c>
      <c r="AC38" s="67"/>
      <c r="AD38" s="65">
        <f t="shared" si="10"/>
        <v>0</v>
      </c>
      <c r="AE38" s="67"/>
      <c r="AF38" s="65">
        <f t="shared" si="11"/>
        <v>0</v>
      </c>
      <c r="AG38" s="67"/>
      <c r="AH38" s="65">
        <f t="shared" si="12"/>
        <v>0</v>
      </c>
      <c r="AI38" s="67"/>
      <c r="AJ38" s="65">
        <f t="shared" si="13"/>
        <v>0</v>
      </c>
      <c r="AK38" s="67"/>
      <c r="AL38" s="65">
        <f t="shared" si="14"/>
        <v>0</v>
      </c>
      <c r="AM38" s="67"/>
      <c r="AN38" s="65">
        <f t="shared" si="15"/>
        <v>0</v>
      </c>
      <c r="AO38" s="67"/>
      <c r="AP38" s="65">
        <f t="shared" si="16"/>
        <v>0</v>
      </c>
      <c r="AQ38" s="67"/>
      <c r="AR38" s="65">
        <f t="shared" si="17"/>
        <v>0</v>
      </c>
      <c r="AS38" s="67"/>
      <c r="AT38" s="65">
        <f t="shared" si="18"/>
        <v>0</v>
      </c>
      <c r="AU38" s="67"/>
      <c r="AV38" s="65">
        <f t="shared" si="19"/>
        <v>0</v>
      </c>
      <c r="AW38" s="67"/>
      <c r="AX38" s="65">
        <f t="shared" si="20"/>
        <v>0</v>
      </c>
      <c r="AY38" s="67"/>
      <c r="AZ38" s="65">
        <f t="shared" si="21"/>
        <v>0</v>
      </c>
      <c r="BA38" s="67"/>
      <c r="BB38" s="65">
        <f t="shared" si="22"/>
        <v>0</v>
      </c>
      <c r="BC38" s="67"/>
      <c r="BD38" s="65">
        <f t="shared" si="23"/>
        <v>0</v>
      </c>
      <c r="BE38" s="67"/>
      <c r="BF38" s="65">
        <f t="shared" si="24"/>
        <v>0</v>
      </c>
      <c r="BG38" s="68">
        <f t="shared" si="25"/>
        <v>0</v>
      </c>
      <c r="BH38" s="69">
        <f t="shared" si="26"/>
        <v>0</v>
      </c>
      <c r="BI38" s="70">
        <f t="shared" si="29"/>
        <v>0</v>
      </c>
      <c r="BJ38" s="71">
        <f t="shared" si="27"/>
        <v>2</v>
      </c>
      <c r="BK38" s="72">
        <f t="shared" si="28"/>
        <v>0</v>
      </c>
      <c r="BL38" s="179">
        <f t="shared" si="30"/>
        <v>0</v>
      </c>
    </row>
    <row r="39" spans="2:64" s="121" customFormat="1" ht="16.5" customHeight="1" x14ac:dyDescent="0.2">
      <c r="B39" s="120"/>
      <c r="C39" s="73" t="s">
        <v>171</v>
      </c>
      <c r="D39" s="73" t="s">
        <v>209</v>
      </c>
      <c r="E39" s="74" t="s">
        <v>679</v>
      </c>
      <c r="F39" s="75" t="s">
        <v>676</v>
      </c>
      <c r="G39" s="76" t="s">
        <v>578</v>
      </c>
      <c r="H39" s="77">
        <v>2</v>
      </c>
      <c r="I39" s="78"/>
      <c r="J39" s="77">
        <v>0</v>
      </c>
      <c r="K39" s="62" t="str">
        <f t="shared" si="0"/>
        <v/>
      </c>
      <c r="L39" s="63" t="str">
        <f t="shared" si="1"/>
        <v/>
      </c>
      <c r="M39" s="64"/>
      <c r="N39" s="65">
        <f t="shared" si="2"/>
        <v>0</v>
      </c>
      <c r="O39" s="64"/>
      <c r="P39" s="65">
        <f t="shared" si="3"/>
        <v>0</v>
      </c>
      <c r="Q39" s="66"/>
      <c r="R39" s="65">
        <f t="shared" si="4"/>
        <v>0</v>
      </c>
      <c r="S39" s="67"/>
      <c r="T39" s="65">
        <f t="shared" si="5"/>
        <v>0</v>
      </c>
      <c r="U39" s="67"/>
      <c r="V39" s="65">
        <f t="shared" si="6"/>
        <v>0</v>
      </c>
      <c r="W39" s="67"/>
      <c r="X39" s="65">
        <f t="shared" si="7"/>
        <v>0</v>
      </c>
      <c r="Y39" s="67"/>
      <c r="Z39" s="65">
        <f t="shared" si="8"/>
        <v>0</v>
      </c>
      <c r="AA39" s="67"/>
      <c r="AB39" s="65">
        <f t="shared" si="9"/>
        <v>0</v>
      </c>
      <c r="AC39" s="67"/>
      <c r="AD39" s="65">
        <f t="shared" si="10"/>
        <v>0</v>
      </c>
      <c r="AE39" s="67"/>
      <c r="AF39" s="65">
        <f t="shared" si="11"/>
        <v>0</v>
      </c>
      <c r="AG39" s="67"/>
      <c r="AH39" s="65">
        <f t="shared" si="12"/>
        <v>0</v>
      </c>
      <c r="AI39" s="67"/>
      <c r="AJ39" s="65">
        <f t="shared" si="13"/>
        <v>0</v>
      </c>
      <c r="AK39" s="67"/>
      <c r="AL39" s="65">
        <f t="shared" si="14"/>
        <v>0</v>
      </c>
      <c r="AM39" s="67"/>
      <c r="AN39" s="65">
        <f t="shared" si="15"/>
        <v>0</v>
      </c>
      <c r="AO39" s="67"/>
      <c r="AP39" s="65">
        <f t="shared" si="16"/>
        <v>0</v>
      </c>
      <c r="AQ39" s="67"/>
      <c r="AR39" s="65">
        <f t="shared" si="17"/>
        <v>0</v>
      </c>
      <c r="AS39" s="67"/>
      <c r="AT39" s="65">
        <f t="shared" si="18"/>
        <v>0</v>
      </c>
      <c r="AU39" s="67"/>
      <c r="AV39" s="65">
        <f t="shared" si="19"/>
        <v>0</v>
      </c>
      <c r="AW39" s="67"/>
      <c r="AX39" s="65">
        <f t="shared" si="20"/>
        <v>0</v>
      </c>
      <c r="AY39" s="67"/>
      <c r="AZ39" s="65">
        <f t="shared" si="21"/>
        <v>0</v>
      </c>
      <c r="BA39" s="67"/>
      <c r="BB39" s="65">
        <f t="shared" si="22"/>
        <v>0</v>
      </c>
      <c r="BC39" s="67"/>
      <c r="BD39" s="65">
        <f t="shared" si="23"/>
        <v>0</v>
      </c>
      <c r="BE39" s="67"/>
      <c r="BF39" s="65">
        <f t="shared" si="24"/>
        <v>0</v>
      </c>
      <c r="BG39" s="68">
        <f t="shared" si="25"/>
        <v>0</v>
      </c>
      <c r="BH39" s="69">
        <f t="shared" si="26"/>
        <v>0</v>
      </c>
      <c r="BI39" s="70">
        <f t="shared" si="29"/>
        <v>0</v>
      </c>
      <c r="BJ39" s="71">
        <f t="shared" si="27"/>
        <v>2</v>
      </c>
      <c r="BK39" s="72">
        <f t="shared" si="28"/>
        <v>0</v>
      </c>
      <c r="BL39" s="179">
        <f t="shared" si="30"/>
        <v>0</v>
      </c>
    </row>
    <row r="40" spans="2:64" s="121" customFormat="1" ht="16.5" customHeight="1" x14ac:dyDescent="0.2">
      <c r="B40" s="120"/>
      <c r="C40" s="73" t="s">
        <v>174</v>
      </c>
      <c r="D40" s="73" t="s">
        <v>209</v>
      </c>
      <c r="E40" s="74" t="s">
        <v>680</v>
      </c>
      <c r="F40" s="75" t="s">
        <v>681</v>
      </c>
      <c r="G40" s="76" t="s">
        <v>578</v>
      </c>
      <c r="H40" s="77">
        <v>2</v>
      </c>
      <c r="I40" s="78"/>
      <c r="J40" s="77">
        <v>0</v>
      </c>
      <c r="K40" s="62" t="str">
        <f t="shared" si="0"/>
        <v/>
      </c>
      <c r="L40" s="63" t="str">
        <f t="shared" si="1"/>
        <v/>
      </c>
      <c r="M40" s="64"/>
      <c r="N40" s="65">
        <f t="shared" si="2"/>
        <v>0</v>
      </c>
      <c r="O40" s="64"/>
      <c r="P40" s="65">
        <f t="shared" si="3"/>
        <v>0</v>
      </c>
      <c r="Q40" s="66"/>
      <c r="R40" s="65">
        <f t="shared" si="4"/>
        <v>0</v>
      </c>
      <c r="S40" s="67"/>
      <c r="T40" s="65">
        <f t="shared" si="5"/>
        <v>0</v>
      </c>
      <c r="U40" s="67"/>
      <c r="V40" s="65">
        <f t="shared" si="6"/>
        <v>0</v>
      </c>
      <c r="W40" s="67"/>
      <c r="X40" s="65">
        <f t="shared" si="7"/>
        <v>0</v>
      </c>
      <c r="Y40" s="67"/>
      <c r="Z40" s="65">
        <f t="shared" si="8"/>
        <v>0</v>
      </c>
      <c r="AA40" s="67"/>
      <c r="AB40" s="65">
        <f t="shared" si="9"/>
        <v>0</v>
      </c>
      <c r="AC40" s="67"/>
      <c r="AD40" s="65">
        <f t="shared" si="10"/>
        <v>0</v>
      </c>
      <c r="AE40" s="67"/>
      <c r="AF40" s="65">
        <f t="shared" si="11"/>
        <v>0</v>
      </c>
      <c r="AG40" s="67"/>
      <c r="AH40" s="65">
        <f t="shared" si="12"/>
        <v>0</v>
      </c>
      <c r="AI40" s="67"/>
      <c r="AJ40" s="65">
        <f t="shared" si="13"/>
        <v>0</v>
      </c>
      <c r="AK40" s="67"/>
      <c r="AL40" s="65">
        <f t="shared" si="14"/>
        <v>0</v>
      </c>
      <c r="AM40" s="67"/>
      <c r="AN40" s="65">
        <f t="shared" si="15"/>
        <v>0</v>
      </c>
      <c r="AO40" s="67"/>
      <c r="AP40" s="65">
        <f t="shared" si="16"/>
        <v>0</v>
      </c>
      <c r="AQ40" s="67"/>
      <c r="AR40" s="65">
        <f t="shared" si="17"/>
        <v>0</v>
      </c>
      <c r="AS40" s="67"/>
      <c r="AT40" s="65">
        <f t="shared" si="18"/>
        <v>0</v>
      </c>
      <c r="AU40" s="67"/>
      <c r="AV40" s="65">
        <f t="shared" si="19"/>
        <v>0</v>
      </c>
      <c r="AW40" s="67"/>
      <c r="AX40" s="65">
        <f t="shared" si="20"/>
        <v>0</v>
      </c>
      <c r="AY40" s="67"/>
      <c r="AZ40" s="65">
        <f t="shared" si="21"/>
        <v>0</v>
      </c>
      <c r="BA40" s="67"/>
      <c r="BB40" s="65">
        <f t="shared" si="22"/>
        <v>0</v>
      </c>
      <c r="BC40" s="67"/>
      <c r="BD40" s="65">
        <f t="shared" si="23"/>
        <v>0</v>
      </c>
      <c r="BE40" s="67"/>
      <c r="BF40" s="65">
        <f t="shared" si="24"/>
        <v>0</v>
      </c>
      <c r="BG40" s="68">
        <f t="shared" si="25"/>
        <v>0</v>
      </c>
      <c r="BH40" s="69">
        <f t="shared" si="26"/>
        <v>0</v>
      </c>
      <c r="BI40" s="70">
        <f t="shared" si="29"/>
        <v>0</v>
      </c>
      <c r="BJ40" s="71">
        <f t="shared" si="27"/>
        <v>2</v>
      </c>
      <c r="BK40" s="72">
        <f t="shared" si="28"/>
        <v>0</v>
      </c>
      <c r="BL40" s="179">
        <f t="shared" si="30"/>
        <v>0</v>
      </c>
    </row>
    <row r="41" spans="2:64" s="121" customFormat="1" ht="16.5" customHeight="1" x14ac:dyDescent="0.2">
      <c r="B41" s="120"/>
      <c r="C41" s="73" t="s">
        <v>177</v>
      </c>
      <c r="D41" s="73" t="s">
        <v>209</v>
      </c>
      <c r="E41" s="74" t="s">
        <v>682</v>
      </c>
      <c r="F41" s="75" t="s">
        <v>683</v>
      </c>
      <c r="G41" s="76" t="s">
        <v>578</v>
      </c>
      <c r="H41" s="77">
        <v>2</v>
      </c>
      <c r="I41" s="78"/>
      <c r="J41" s="77">
        <v>0</v>
      </c>
      <c r="K41" s="62" t="str">
        <f t="shared" si="0"/>
        <v/>
      </c>
      <c r="L41" s="63" t="str">
        <f t="shared" si="1"/>
        <v/>
      </c>
      <c r="M41" s="64"/>
      <c r="N41" s="65">
        <f t="shared" si="2"/>
        <v>0</v>
      </c>
      <c r="O41" s="64"/>
      <c r="P41" s="65">
        <f t="shared" si="3"/>
        <v>0</v>
      </c>
      <c r="Q41" s="66"/>
      <c r="R41" s="65">
        <f t="shared" si="4"/>
        <v>0</v>
      </c>
      <c r="S41" s="67"/>
      <c r="T41" s="65">
        <f t="shared" si="5"/>
        <v>0</v>
      </c>
      <c r="U41" s="67"/>
      <c r="V41" s="65">
        <f t="shared" si="6"/>
        <v>0</v>
      </c>
      <c r="W41" s="67"/>
      <c r="X41" s="65">
        <f t="shared" si="7"/>
        <v>0</v>
      </c>
      <c r="Y41" s="67"/>
      <c r="Z41" s="65">
        <f t="shared" si="8"/>
        <v>0</v>
      </c>
      <c r="AA41" s="67"/>
      <c r="AB41" s="65">
        <f t="shared" si="9"/>
        <v>0</v>
      </c>
      <c r="AC41" s="67"/>
      <c r="AD41" s="65">
        <f t="shared" si="10"/>
        <v>0</v>
      </c>
      <c r="AE41" s="67"/>
      <c r="AF41" s="65">
        <f t="shared" si="11"/>
        <v>0</v>
      </c>
      <c r="AG41" s="67"/>
      <c r="AH41" s="65">
        <f t="shared" si="12"/>
        <v>0</v>
      </c>
      <c r="AI41" s="67"/>
      <c r="AJ41" s="65">
        <f t="shared" si="13"/>
        <v>0</v>
      </c>
      <c r="AK41" s="67"/>
      <c r="AL41" s="65">
        <f t="shared" si="14"/>
        <v>0</v>
      </c>
      <c r="AM41" s="67"/>
      <c r="AN41" s="65">
        <f t="shared" si="15"/>
        <v>0</v>
      </c>
      <c r="AO41" s="67"/>
      <c r="AP41" s="65">
        <f t="shared" si="16"/>
        <v>0</v>
      </c>
      <c r="AQ41" s="67"/>
      <c r="AR41" s="65">
        <f t="shared" si="17"/>
        <v>0</v>
      </c>
      <c r="AS41" s="67"/>
      <c r="AT41" s="65">
        <f t="shared" si="18"/>
        <v>0</v>
      </c>
      <c r="AU41" s="67"/>
      <c r="AV41" s="65">
        <f t="shared" si="19"/>
        <v>0</v>
      </c>
      <c r="AW41" s="67"/>
      <c r="AX41" s="65">
        <f t="shared" si="20"/>
        <v>0</v>
      </c>
      <c r="AY41" s="67"/>
      <c r="AZ41" s="65">
        <f t="shared" si="21"/>
        <v>0</v>
      </c>
      <c r="BA41" s="67"/>
      <c r="BB41" s="65">
        <f t="shared" si="22"/>
        <v>0</v>
      </c>
      <c r="BC41" s="67"/>
      <c r="BD41" s="65">
        <f t="shared" si="23"/>
        <v>0</v>
      </c>
      <c r="BE41" s="67"/>
      <c r="BF41" s="65">
        <f t="shared" si="24"/>
        <v>0</v>
      </c>
      <c r="BG41" s="68">
        <f t="shared" si="25"/>
        <v>0</v>
      </c>
      <c r="BH41" s="69">
        <f t="shared" si="26"/>
        <v>0</v>
      </c>
      <c r="BI41" s="70">
        <f t="shared" si="29"/>
        <v>0</v>
      </c>
      <c r="BJ41" s="71">
        <f t="shared" si="27"/>
        <v>2</v>
      </c>
      <c r="BK41" s="72">
        <f t="shared" si="28"/>
        <v>0</v>
      </c>
      <c r="BL41" s="179">
        <f t="shared" si="30"/>
        <v>0</v>
      </c>
    </row>
    <row r="42" spans="2:64" s="121" customFormat="1" ht="16.5" customHeight="1" x14ac:dyDescent="0.2">
      <c r="B42" s="120"/>
      <c r="C42" s="73" t="s">
        <v>180</v>
      </c>
      <c r="D42" s="73" t="s">
        <v>209</v>
      </c>
      <c r="E42" s="74" t="s">
        <v>684</v>
      </c>
      <c r="F42" s="75" t="s">
        <v>685</v>
      </c>
      <c r="G42" s="76" t="s">
        <v>578</v>
      </c>
      <c r="H42" s="77">
        <v>2</v>
      </c>
      <c r="I42" s="78"/>
      <c r="J42" s="77">
        <v>0</v>
      </c>
      <c r="K42" s="62" t="str">
        <f t="shared" si="0"/>
        <v/>
      </c>
      <c r="L42" s="63" t="str">
        <f t="shared" si="1"/>
        <v/>
      </c>
      <c r="M42" s="64"/>
      <c r="N42" s="65">
        <f t="shared" si="2"/>
        <v>0</v>
      </c>
      <c r="O42" s="64"/>
      <c r="P42" s="65">
        <f t="shared" si="3"/>
        <v>0</v>
      </c>
      <c r="Q42" s="66"/>
      <c r="R42" s="65">
        <f t="shared" si="4"/>
        <v>0</v>
      </c>
      <c r="S42" s="67"/>
      <c r="T42" s="65">
        <f t="shared" si="5"/>
        <v>0</v>
      </c>
      <c r="U42" s="67"/>
      <c r="V42" s="65">
        <f t="shared" si="6"/>
        <v>0</v>
      </c>
      <c r="W42" s="67"/>
      <c r="X42" s="65">
        <f t="shared" si="7"/>
        <v>0</v>
      </c>
      <c r="Y42" s="67"/>
      <c r="Z42" s="65">
        <f t="shared" si="8"/>
        <v>0</v>
      </c>
      <c r="AA42" s="67"/>
      <c r="AB42" s="65">
        <f t="shared" si="9"/>
        <v>0</v>
      </c>
      <c r="AC42" s="67"/>
      <c r="AD42" s="65">
        <f t="shared" si="10"/>
        <v>0</v>
      </c>
      <c r="AE42" s="67"/>
      <c r="AF42" s="65">
        <f t="shared" si="11"/>
        <v>0</v>
      </c>
      <c r="AG42" s="67"/>
      <c r="AH42" s="65">
        <f t="shared" si="12"/>
        <v>0</v>
      </c>
      <c r="AI42" s="67"/>
      <c r="AJ42" s="65">
        <f t="shared" si="13"/>
        <v>0</v>
      </c>
      <c r="AK42" s="67"/>
      <c r="AL42" s="65">
        <f t="shared" si="14"/>
        <v>0</v>
      </c>
      <c r="AM42" s="67"/>
      <c r="AN42" s="65">
        <f t="shared" si="15"/>
        <v>0</v>
      </c>
      <c r="AO42" s="67"/>
      <c r="AP42" s="65">
        <f t="shared" si="16"/>
        <v>0</v>
      </c>
      <c r="AQ42" s="67"/>
      <c r="AR42" s="65">
        <f t="shared" si="17"/>
        <v>0</v>
      </c>
      <c r="AS42" s="67"/>
      <c r="AT42" s="65">
        <f t="shared" si="18"/>
        <v>0</v>
      </c>
      <c r="AU42" s="67"/>
      <c r="AV42" s="65">
        <f t="shared" si="19"/>
        <v>0</v>
      </c>
      <c r="AW42" s="67"/>
      <c r="AX42" s="65">
        <f t="shared" si="20"/>
        <v>0</v>
      </c>
      <c r="AY42" s="67"/>
      <c r="AZ42" s="65">
        <f t="shared" si="21"/>
        <v>0</v>
      </c>
      <c r="BA42" s="67"/>
      <c r="BB42" s="65">
        <f t="shared" si="22"/>
        <v>0</v>
      </c>
      <c r="BC42" s="67"/>
      <c r="BD42" s="65">
        <f t="shared" si="23"/>
        <v>0</v>
      </c>
      <c r="BE42" s="67"/>
      <c r="BF42" s="65">
        <f t="shared" si="24"/>
        <v>0</v>
      </c>
      <c r="BG42" s="68">
        <f t="shared" si="25"/>
        <v>0</v>
      </c>
      <c r="BH42" s="69">
        <f t="shared" si="26"/>
        <v>0</v>
      </c>
      <c r="BI42" s="70">
        <f t="shared" si="29"/>
        <v>0</v>
      </c>
      <c r="BJ42" s="71">
        <f t="shared" si="27"/>
        <v>2</v>
      </c>
      <c r="BK42" s="72">
        <f t="shared" si="28"/>
        <v>0</v>
      </c>
      <c r="BL42" s="179">
        <f t="shared" si="30"/>
        <v>0</v>
      </c>
    </row>
    <row r="43" spans="2:64" s="121" customFormat="1" ht="16.5" customHeight="1" x14ac:dyDescent="0.2">
      <c r="B43" s="120"/>
      <c r="C43" s="73" t="s">
        <v>183</v>
      </c>
      <c r="D43" s="73" t="s">
        <v>209</v>
      </c>
      <c r="E43" s="74" t="s">
        <v>686</v>
      </c>
      <c r="F43" s="75" t="s">
        <v>687</v>
      </c>
      <c r="G43" s="76" t="s">
        <v>578</v>
      </c>
      <c r="H43" s="77">
        <v>2</v>
      </c>
      <c r="I43" s="78"/>
      <c r="J43" s="77">
        <v>0</v>
      </c>
      <c r="K43" s="62" t="str">
        <f t="shared" si="0"/>
        <v/>
      </c>
      <c r="L43" s="63" t="str">
        <f t="shared" si="1"/>
        <v/>
      </c>
      <c r="M43" s="64"/>
      <c r="N43" s="65">
        <f t="shared" si="2"/>
        <v>0</v>
      </c>
      <c r="O43" s="64"/>
      <c r="P43" s="65">
        <f t="shared" si="3"/>
        <v>0</v>
      </c>
      <c r="Q43" s="66"/>
      <c r="R43" s="65">
        <f t="shared" si="4"/>
        <v>0</v>
      </c>
      <c r="S43" s="67"/>
      <c r="T43" s="65">
        <f t="shared" si="5"/>
        <v>0</v>
      </c>
      <c r="U43" s="67"/>
      <c r="V43" s="65">
        <f t="shared" si="6"/>
        <v>0</v>
      </c>
      <c r="W43" s="67"/>
      <c r="X43" s="65">
        <f t="shared" si="7"/>
        <v>0</v>
      </c>
      <c r="Y43" s="67"/>
      <c r="Z43" s="65">
        <f t="shared" si="8"/>
        <v>0</v>
      </c>
      <c r="AA43" s="67"/>
      <c r="AB43" s="65">
        <f t="shared" si="9"/>
        <v>0</v>
      </c>
      <c r="AC43" s="67"/>
      <c r="AD43" s="65">
        <f t="shared" si="10"/>
        <v>0</v>
      </c>
      <c r="AE43" s="67"/>
      <c r="AF43" s="65">
        <f t="shared" si="11"/>
        <v>0</v>
      </c>
      <c r="AG43" s="67"/>
      <c r="AH43" s="65">
        <f t="shared" si="12"/>
        <v>0</v>
      </c>
      <c r="AI43" s="67"/>
      <c r="AJ43" s="65">
        <f t="shared" si="13"/>
        <v>0</v>
      </c>
      <c r="AK43" s="67"/>
      <c r="AL43" s="65">
        <f t="shared" si="14"/>
        <v>0</v>
      </c>
      <c r="AM43" s="67"/>
      <c r="AN43" s="65">
        <f t="shared" si="15"/>
        <v>0</v>
      </c>
      <c r="AO43" s="67"/>
      <c r="AP43" s="65">
        <f t="shared" si="16"/>
        <v>0</v>
      </c>
      <c r="AQ43" s="67"/>
      <c r="AR43" s="65">
        <f t="shared" si="17"/>
        <v>0</v>
      </c>
      <c r="AS43" s="67"/>
      <c r="AT43" s="65">
        <f t="shared" si="18"/>
        <v>0</v>
      </c>
      <c r="AU43" s="67"/>
      <c r="AV43" s="65">
        <f t="shared" si="19"/>
        <v>0</v>
      </c>
      <c r="AW43" s="67"/>
      <c r="AX43" s="65">
        <f t="shared" si="20"/>
        <v>0</v>
      </c>
      <c r="AY43" s="67"/>
      <c r="AZ43" s="65">
        <f t="shared" si="21"/>
        <v>0</v>
      </c>
      <c r="BA43" s="67"/>
      <c r="BB43" s="65">
        <f t="shared" si="22"/>
        <v>0</v>
      </c>
      <c r="BC43" s="67"/>
      <c r="BD43" s="65">
        <f t="shared" si="23"/>
        <v>0</v>
      </c>
      <c r="BE43" s="67"/>
      <c r="BF43" s="65">
        <f t="shared" si="24"/>
        <v>0</v>
      </c>
      <c r="BG43" s="68">
        <f t="shared" si="25"/>
        <v>0</v>
      </c>
      <c r="BH43" s="69">
        <f t="shared" si="26"/>
        <v>0</v>
      </c>
      <c r="BI43" s="70">
        <f t="shared" si="29"/>
        <v>0</v>
      </c>
      <c r="BJ43" s="71">
        <f t="shared" si="27"/>
        <v>2</v>
      </c>
      <c r="BK43" s="72">
        <f t="shared" si="28"/>
        <v>0</v>
      </c>
      <c r="BL43" s="179">
        <f t="shared" si="30"/>
        <v>0</v>
      </c>
    </row>
    <row r="44" spans="2:64" s="121" customFormat="1" ht="16.5" customHeight="1" x14ac:dyDescent="0.2">
      <c r="B44" s="120"/>
      <c r="C44" s="73" t="s">
        <v>186</v>
      </c>
      <c r="D44" s="73" t="s">
        <v>209</v>
      </c>
      <c r="E44" s="74" t="s">
        <v>688</v>
      </c>
      <c r="F44" s="75" t="s">
        <v>689</v>
      </c>
      <c r="G44" s="76" t="s">
        <v>578</v>
      </c>
      <c r="H44" s="77">
        <v>2</v>
      </c>
      <c r="I44" s="78"/>
      <c r="J44" s="77">
        <v>0</v>
      </c>
      <c r="K44" s="62" t="str">
        <f t="shared" si="0"/>
        <v/>
      </c>
      <c r="L44" s="63" t="str">
        <f t="shared" si="1"/>
        <v/>
      </c>
      <c r="M44" s="64"/>
      <c r="N44" s="65">
        <f t="shared" si="2"/>
        <v>0</v>
      </c>
      <c r="O44" s="64"/>
      <c r="P44" s="65">
        <f t="shared" si="3"/>
        <v>0</v>
      </c>
      <c r="Q44" s="66"/>
      <c r="R44" s="65">
        <f t="shared" si="4"/>
        <v>0</v>
      </c>
      <c r="S44" s="67"/>
      <c r="T44" s="65">
        <f t="shared" si="5"/>
        <v>0</v>
      </c>
      <c r="U44" s="67"/>
      <c r="V44" s="65">
        <f t="shared" si="6"/>
        <v>0</v>
      </c>
      <c r="W44" s="67"/>
      <c r="X44" s="65">
        <f t="shared" si="7"/>
        <v>0</v>
      </c>
      <c r="Y44" s="67"/>
      <c r="Z44" s="65">
        <f t="shared" si="8"/>
        <v>0</v>
      </c>
      <c r="AA44" s="67"/>
      <c r="AB44" s="65">
        <f t="shared" si="9"/>
        <v>0</v>
      </c>
      <c r="AC44" s="67"/>
      <c r="AD44" s="65">
        <f t="shared" si="10"/>
        <v>0</v>
      </c>
      <c r="AE44" s="67"/>
      <c r="AF44" s="65">
        <f t="shared" si="11"/>
        <v>0</v>
      </c>
      <c r="AG44" s="67"/>
      <c r="AH44" s="65">
        <f t="shared" si="12"/>
        <v>0</v>
      </c>
      <c r="AI44" s="67"/>
      <c r="AJ44" s="65">
        <f t="shared" si="13"/>
        <v>0</v>
      </c>
      <c r="AK44" s="67"/>
      <c r="AL44" s="65">
        <f t="shared" si="14"/>
        <v>0</v>
      </c>
      <c r="AM44" s="67"/>
      <c r="AN44" s="65">
        <f t="shared" si="15"/>
        <v>0</v>
      </c>
      <c r="AO44" s="67"/>
      <c r="AP44" s="65">
        <f t="shared" si="16"/>
        <v>0</v>
      </c>
      <c r="AQ44" s="67"/>
      <c r="AR44" s="65">
        <f t="shared" si="17"/>
        <v>0</v>
      </c>
      <c r="AS44" s="67"/>
      <c r="AT44" s="65">
        <f t="shared" si="18"/>
        <v>0</v>
      </c>
      <c r="AU44" s="67"/>
      <c r="AV44" s="65">
        <f t="shared" si="19"/>
        <v>0</v>
      </c>
      <c r="AW44" s="67"/>
      <c r="AX44" s="65">
        <f t="shared" si="20"/>
        <v>0</v>
      </c>
      <c r="AY44" s="67"/>
      <c r="AZ44" s="65">
        <f t="shared" si="21"/>
        <v>0</v>
      </c>
      <c r="BA44" s="67"/>
      <c r="BB44" s="65">
        <f t="shared" si="22"/>
        <v>0</v>
      </c>
      <c r="BC44" s="67"/>
      <c r="BD44" s="65">
        <f t="shared" si="23"/>
        <v>0</v>
      </c>
      <c r="BE44" s="67"/>
      <c r="BF44" s="65">
        <f t="shared" si="24"/>
        <v>0</v>
      </c>
      <c r="BG44" s="68">
        <f t="shared" si="25"/>
        <v>0</v>
      </c>
      <c r="BH44" s="69">
        <f t="shared" si="26"/>
        <v>0</v>
      </c>
      <c r="BI44" s="70">
        <f t="shared" si="29"/>
        <v>0</v>
      </c>
      <c r="BJ44" s="71">
        <f t="shared" si="27"/>
        <v>2</v>
      </c>
      <c r="BK44" s="72">
        <f t="shared" si="28"/>
        <v>0</v>
      </c>
      <c r="BL44" s="179">
        <f t="shared" si="30"/>
        <v>0</v>
      </c>
    </row>
    <row r="45" spans="2:64" s="121" customFormat="1" ht="16.5" customHeight="1" x14ac:dyDescent="0.2">
      <c r="B45" s="120"/>
      <c r="C45" s="73" t="s">
        <v>189</v>
      </c>
      <c r="D45" s="73" t="s">
        <v>209</v>
      </c>
      <c r="E45" s="74" t="s">
        <v>690</v>
      </c>
      <c r="F45" s="75" t="s">
        <v>691</v>
      </c>
      <c r="G45" s="76" t="s">
        <v>578</v>
      </c>
      <c r="H45" s="77">
        <v>4</v>
      </c>
      <c r="I45" s="78"/>
      <c r="J45" s="77">
        <v>0</v>
      </c>
      <c r="K45" s="62" t="str">
        <f t="shared" si="0"/>
        <v/>
      </c>
      <c r="L45" s="63" t="str">
        <f t="shared" si="1"/>
        <v/>
      </c>
      <c r="M45" s="64"/>
      <c r="N45" s="65">
        <f t="shared" si="2"/>
        <v>0</v>
      </c>
      <c r="O45" s="64"/>
      <c r="P45" s="65">
        <f t="shared" si="3"/>
        <v>0</v>
      </c>
      <c r="Q45" s="66"/>
      <c r="R45" s="65">
        <f t="shared" si="4"/>
        <v>0</v>
      </c>
      <c r="S45" s="67"/>
      <c r="T45" s="65">
        <f t="shared" si="5"/>
        <v>0</v>
      </c>
      <c r="U45" s="67"/>
      <c r="V45" s="65">
        <f t="shared" si="6"/>
        <v>0</v>
      </c>
      <c r="W45" s="67"/>
      <c r="X45" s="65">
        <f t="shared" si="7"/>
        <v>0</v>
      </c>
      <c r="Y45" s="67"/>
      <c r="Z45" s="65">
        <f t="shared" si="8"/>
        <v>0</v>
      </c>
      <c r="AA45" s="67"/>
      <c r="AB45" s="65">
        <f t="shared" si="9"/>
        <v>0</v>
      </c>
      <c r="AC45" s="67"/>
      <c r="AD45" s="65">
        <f t="shared" si="10"/>
        <v>0</v>
      </c>
      <c r="AE45" s="67"/>
      <c r="AF45" s="65">
        <f t="shared" si="11"/>
        <v>0</v>
      </c>
      <c r="AG45" s="67"/>
      <c r="AH45" s="65">
        <f t="shared" si="12"/>
        <v>0</v>
      </c>
      <c r="AI45" s="67"/>
      <c r="AJ45" s="65">
        <f t="shared" si="13"/>
        <v>0</v>
      </c>
      <c r="AK45" s="67"/>
      <c r="AL45" s="65">
        <f t="shared" si="14"/>
        <v>0</v>
      </c>
      <c r="AM45" s="67"/>
      <c r="AN45" s="65">
        <f t="shared" si="15"/>
        <v>0</v>
      </c>
      <c r="AO45" s="67"/>
      <c r="AP45" s="65">
        <f t="shared" si="16"/>
        <v>0</v>
      </c>
      <c r="AQ45" s="67"/>
      <c r="AR45" s="65">
        <f t="shared" si="17"/>
        <v>0</v>
      </c>
      <c r="AS45" s="67"/>
      <c r="AT45" s="65">
        <f t="shared" si="18"/>
        <v>0</v>
      </c>
      <c r="AU45" s="67"/>
      <c r="AV45" s="65">
        <f t="shared" si="19"/>
        <v>0</v>
      </c>
      <c r="AW45" s="67"/>
      <c r="AX45" s="65">
        <f t="shared" si="20"/>
        <v>0</v>
      </c>
      <c r="AY45" s="67"/>
      <c r="AZ45" s="65">
        <f t="shared" si="21"/>
        <v>0</v>
      </c>
      <c r="BA45" s="67"/>
      <c r="BB45" s="65">
        <f t="shared" si="22"/>
        <v>0</v>
      </c>
      <c r="BC45" s="67"/>
      <c r="BD45" s="65">
        <f t="shared" si="23"/>
        <v>0</v>
      </c>
      <c r="BE45" s="67"/>
      <c r="BF45" s="65">
        <f t="shared" si="24"/>
        <v>0</v>
      </c>
      <c r="BG45" s="68">
        <f t="shared" si="25"/>
        <v>0</v>
      </c>
      <c r="BH45" s="69">
        <f t="shared" si="26"/>
        <v>0</v>
      </c>
      <c r="BI45" s="70">
        <f t="shared" si="29"/>
        <v>0</v>
      </c>
      <c r="BJ45" s="71">
        <f t="shared" si="27"/>
        <v>4</v>
      </c>
      <c r="BK45" s="72">
        <f t="shared" si="28"/>
        <v>0</v>
      </c>
      <c r="BL45" s="179">
        <f t="shared" si="30"/>
        <v>0</v>
      </c>
    </row>
    <row r="46" spans="2:64" s="121" customFormat="1" ht="16.5" customHeight="1" x14ac:dyDescent="0.2">
      <c r="B46" s="120"/>
      <c r="C46" s="73" t="s">
        <v>192</v>
      </c>
      <c r="D46" s="73" t="s">
        <v>209</v>
      </c>
      <c r="E46" s="74" t="s">
        <v>692</v>
      </c>
      <c r="F46" s="75" t="s">
        <v>691</v>
      </c>
      <c r="G46" s="76" t="s">
        <v>578</v>
      </c>
      <c r="H46" s="77">
        <v>2</v>
      </c>
      <c r="I46" s="78"/>
      <c r="J46" s="77">
        <v>0</v>
      </c>
      <c r="K46" s="62" t="str">
        <f t="shared" si="0"/>
        <v/>
      </c>
      <c r="L46" s="63" t="str">
        <f t="shared" si="1"/>
        <v/>
      </c>
      <c r="M46" s="64"/>
      <c r="N46" s="65">
        <f t="shared" si="2"/>
        <v>0</v>
      </c>
      <c r="O46" s="64"/>
      <c r="P46" s="65">
        <f t="shared" si="3"/>
        <v>0</v>
      </c>
      <c r="Q46" s="66"/>
      <c r="R46" s="65">
        <f t="shared" si="4"/>
        <v>0</v>
      </c>
      <c r="S46" s="67"/>
      <c r="T46" s="65">
        <f t="shared" si="5"/>
        <v>0</v>
      </c>
      <c r="U46" s="67"/>
      <c r="V46" s="65">
        <f t="shared" si="6"/>
        <v>0</v>
      </c>
      <c r="W46" s="67"/>
      <c r="X46" s="65">
        <f t="shared" si="7"/>
        <v>0</v>
      </c>
      <c r="Y46" s="67"/>
      <c r="Z46" s="65">
        <f t="shared" si="8"/>
        <v>0</v>
      </c>
      <c r="AA46" s="67"/>
      <c r="AB46" s="65">
        <f t="shared" si="9"/>
        <v>0</v>
      </c>
      <c r="AC46" s="67"/>
      <c r="AD46" s="65">
        <f t="shared" si="10"/>
        <v>0</v>
      </c>
      <c r="AE46" s="67"/>
      <c r="AF46" s="65">
        <f t="shared" si="11"/>
        <v>0</v>
      </c>
      <c r="AG46" s="67"/>
      <c r="AH46" s="65">
        <f t="shared" si="12"/>
        <v>0</v>
      </c>
      <c r="AI46" s="67"/>
      <c r="AJ46" s="65">
        <f t="shared" si="13"/>
        <v>0</v>
      </c>
      <c r="AK46" s="67"/>
      <c r="AL46" s="65">
        <f t="shared" si="14"/>
        <v>0</v>
      </c>
      <c r="AM46" s="67"/>
      <c r="AN46" s="65">
        <f t="shared" si="15"/>
        <v>0</v>
      </c>
      <c r="AO46" s="67"/>
      <c r="AP46" s="65">
        <f t="shared" si="16"/>
        <v>0</v>
      </c>
      <c r="AQ46" s="67"/>
      <c r="AR46" s="65">
        <f t="shared" si="17"/>
        <v>0</v>
      </c>
      <c r="AS46" s="67"/>
      <c r="AT46" s="65">
        <f t="shared" si="18"/>
        <v>0</v>
      </c>
      <c r="AU46" s="67"/>
      <c r="AV46" s="65">
        <f t="shared" si="19"/>
        <v>0</v>
      </c>
      <c r="AW46" s="67"/>
      <c r="AX46" s="65">
        <f t="shared" si="20"/>
        <v>0</v>
      </c>
      <c r="AY46" s="67"/>
      <c r="AZ46" s="65">
        <f t="shared" si="21"/>
        <v>0</v>
      </c>
      <c r="BA46" s="67"/>
      <c r="BB46" s="65">
        <f t="shared" si="22"/>
        <v>0</v>
      </c>
      <c r="BC46" s="67"/>
      <c r="BD46" s="65">
        <f t="shared" si="23"/>
        <v>0</v>
      </c>
      <c r="BE46" s="67"/>
      <c r="BF46" s="65">
        <f t="shared" si="24"/>
        <v>0</v>
      </c>
      <c r="BG46" s="68">
        <f t="shared" si="25"/>
        <v>0</v>
      </c>
      <c r="BH46" s="69">
        <f t="shared" si="26"/>
        <v>0</v>
      </c>
      <c r="BI46" s="70">
        <f t="shared" si="29"/>
        <v>0</v>
      </c>
      <c r="BJ46" s="71">
        <f t="shared" si="27"/>
        <v>2</v>
      </c>
      <c r="BK46" s="72">
        <f t="shared" si="28"/>
        <v>0</v>
      </c>
      <c r="BL46" s="179">
        <f t="shared" si="30"/>
        <v>0</v>
      </c>
    </row>
    <row r="47" spans="2:64" s="121" customFormat="1" ht="16.5" customHeight="1" x14ac:dyDescent="0.2">
      <c r="B47" s="120"/>
      <c r="C47" s="73" t="s">
        <v>195</v>
      </c>
      <c r="D47" s="73" t="s">
        <v>209</v>
      </c>
      <c r="E47" s="74" t="s">
        <v>693</v>
      </c>
      <c r="F47" s="75" t="s">
        <v>694</v>
      </c>
      <c r="G47" s="76" t="s">
        <v>578</v>
      </c>
      <c r="H47" s="77">
        <v>2</v>
      </c>
      <c r="I47" s="78"/>
      <c r="J47" s="77">
        <v>0</v>
      </c>
      <c r="K47" s="62" t="str">
        <f t="shared" si="0"/>
        <v/>
      </c>
      <c r="L47" s="63" t="str">
        <f t="shared" si="1"/>
        <v/>
      </c>
      <c r="M47" s="64"/>
      <c r="N47" s="65">
        <f t="shared" si="2"/>
        <v>0</v>
      </c>
      <c r="O47" s="64"/>
      <c r="P47" s="65">
        <f t="shared" si="3"/>
        <v>0</v>
      </c>
      <c r="Q47" s="66"/>
      <c r="R47" s="65">
        <f t="shared" si="4"/>
        <v>0</v>
      </c>
      <c r="S47" s="67"/>
      <c r="T47" s="65">
        <f t="shared" si="5"/>
        <v>0</v>
      </c>
      <c r="U47" s="67"/>
      <c r="V47" s="65">
        <f t="shared" si="6"/>
        <v>0</v>
      </c>
      <c r="W47" s="67"/>
      <c r="X47" s="65">
        <f t="shared" si="7"/>
        <v>0</v>
      </c>
      <c r="Y47" s="67"/>
      <c r="Z47" s="65">
        <f t="shared" si="8"/>
        <v>0</v>
      </c>
      <c r="AA47" s="67"/>
      <c r="AB47" s="65">
        <f t="shared" si="9"/>
        <v>0</v>
      </c>
      <c r="AC47" s="67"/>
      <c r="AD47" s="65">
        <f t="shared" si="10"/>
        <v>0</v>
      </c>
      <c r="AE47" s="67"/>
      <c r="AF47" s="65">
        <f t="shared" si="11"/>
        <v>0</v>
      </c>
      <c r="AG47" s="67"/>
      <c r="AH47" s="65">
        <f t="shared" si="12"/>
        <v>0</v>
      </c>
      <c r="AI47" s="67"/>
      <c r="AJ47" s="65">
        <f t="shared" si="13"/>
        <v>0</v>
      </c>
      <c r="AK47" s="67"/>
      <c r="AL47" s="65">
        <f t="shared" si="14"/>
        <v>0</v>
      </c>
      <c r="AM47" s="67"/>
      <c r="AN47" s="65">
        <f t="shared" si="15"/>
        <v>0</v>
      </c>
      <c r="AO47" s="67"/>
      <c r="AP47" s="65">
        <f t="shared" si="16"/>
        <v>0</v>
      </c>
      <c r="AQ47" s="67"/>
      <c r="AR47" s="65">
        <f t="shared" si="17"/>
        <v>0</v>
      </c>
      <c r="AS47" s="67"/>
      <c r="AT47" s="65">
        <f t="shared" si="18"/>
        <v>0</v>
      </c>
      <c r="AU47" s="67"/>
      <c r="AV47" s="65">
        <f t="shared" si="19"/>
        <v>0</v>
      </c>
      <c r="AW47" s="67"/>
      <c r="AX47" s="65">
        <f t="shared" si="20"/>
        <v>0</v>
      </c>
      <c r="AY47" s="67"/>
      <c r="AZ47" s="65">
        <f t="shared" si="21"/>
        <v>0</v>
      </c>
      <c r="BA47" s="67"/>
      <c r="BB47" s="65">
        <f t="shared" si="22"/>
        <v>0</v>
      </c>
      <c r="BC47" s="67"/>
      <c r="BD47" s="65">
        <f t="shared" si="23"/>
        <v>0</v>
      </c>
      <c r="BE47" s="67"/>
      <c r="BF47" s="65">
        <f t="shared" si="24"/>
        <v>0</v>
      </c>
      <c r="BG47" s="68">
        <f t="shared" si="25"/>
        <v>0</v>
      </c>
      <c r="BH47" s="69">
        <f t="shared" si="26"/>
        <v>0</v>
      </c>
      <c r="BI47" s="70">
        <f t="shared" si="29"/>
        <v>0</v>
      </c>
      <c r="BJ47" s="71">
        <f t="shared" si="27"/>
        <v>2</v>
      </c>
      <c r="BK47" s="72">
        <f t="shared" si="28"/>
        <v>0</v>
      </c>
      <c r="BL47" s="179">
        <f t="shared" si="30"/>
        <v>0</v>
      </c>
    </row>
    <row r="48" spans="2:64" s="121" customFormat="1" ht="16.5" customHeight="1" x14ac:dyDescent="0.2">
      <c r="B48" s="120"/>
      <c r="C48" s="73" t="s">
        <v>198</v>
      </c>
      <c r="D48" s="73" t="s">
        <v>209</v>
      </c>
      <c r="E48" s="74" t="s">
        <v>695</v>
      </c>
      <c r="F48" s="75" t="s">
        <v>696</v>
      </c>
      <c r="G48" s="76" t="s">
        <v>578</v>
      </c>
      <c r="H48" s="77">
        <v>2</v>
      </c>
      <c r="I48" s="78"/>
      <c r="J48" s="77">
        <v>0</v>
      </c>
      <c r="K48" s="62" t="str">
        <f t="shared" si="0"/>
        <v/>
      </c>
      <c r="L48" s="63" t="str">
        <f t="shared" si="1"/>
        <v/>
      </c>
      <c r="M48" s="64"/>
      <c r="N48" s="65">
        <f t="shared" si="2"/>
        <v>0</v>
      </c>
      <c r="O48" s="64"/>
      <c r="P48" s="65">
        <f t="shared" si="3"/>
        <v>0</v>
      </c>
      <c r="Q48" s="66"/>
      <c r="R48" s="65">
        <f t="shared" si="4"/>
        <v>0</v>
      </c>
      <c r="S48" s="67"/>
      <c r="T48" s="65">
        <f t="shared" si="5"/>
        <v>0</v>
      </c>
      <c r="U48" s="67"/>
      <c r="V48" s="65">
        <f t="shared" si="6"/>
        <v>0</v>
      </c>
      <c r="W48" s="67"/>
      <c r="X48" s="65">
        <f t="shared" si="7"/>
        <v>0</v>
      </c>
      <c r="Y48" s="67"/>
      <c r="Z48" s="65">
        <f t="shared" si="8"/>
        <v>0</v>
      </c>
      <c r="AA48" s="67"/>
      <c r="AB48" s="65">
        <f t="shared" si="9"/>
        <v>0</v>
      </c>
      <c r="AC48" s="67"/>
      <c r="AD48" s="65">
        <f t="shared" si="10"/>
        <v>0</v>
      </c>
      <c r="AE48" s="67"/>
      <c r="AF48" s="65">
        <f t="shared" si="11"/>
        <v>0</v>
      </c>
      <c r="AG48" s="67"/>
      <c r="AH48" s="65">
        <f t="shared" si="12"/>
        <v>0</v>
      </c>
      <c r="AI48" s="67"/>
      <c r="AJ48" s="65">
        <f t="shared" si="13"/>
        <v>0</v>
      </c>
      <c r="AK48" s="67"/>
      <c r="AL48" s="65">
        <f t="shared" si="14"/>
        <v>0</v>
      </c>
      <c r="AM48" s="67"/>
      <c r="AN48" s="65">
        <f t="shared" si="15"/>
        <v>0</v>
      </c>
      <c r="AO48" s="67"/>
      <c r="AP48" s="65">
        <f t="shared" si="16"/>
        <v>0</v>
      </c>
      <c r="AQ48" s="67"/>
      <c r="AR48" s="65">
        <f t="shared" si="17"/>
        <v>0</v>
      </c>
      <c r="AS48" s="67"/>
      <c r="AT48" s="65">
        <f t="shared" si="18"/>
        <v>0</v>
      </c>
      <c r="AU48" s="67"/>
      <c r="AV48" s="65">
        <f t="shared" si="19"/>
        <v>0</v>
      </c>
      <c r="AW48" s="67"/>
      <c r="AX48" s="65">
        <f t="shared" si="20"/>
        <v>0</v>
      </c>
      <c r="AY48" s="67"/>
      <c r="AZ48" s="65">
        <f t="shared" si="21"/>
        <v>0</v>
      </c>
      <c r="BA48" s="67"/>
      <c r="BB48" s="65">
        <f t="shared" si="22"/>
        <v>0</v>
      </c>
      <c r="BC48" s="67"/>
      <c r="BD48" s="65">
        <f t="shared" si="23"/>
        <v>0</v>
      </c>
      <c r="BE48" s="67"/>
      <c r="BF48" s="65">
        <f t="shared" si="24"/>
        <v>0</v>
      </c>
      <c r="BG48" s="68">
        <f t="shared" si="25"/>
        <v>0</v>
      </c>
      <c r="BH48" s="69">
        <f t="shared" si="26"/>
        <v>0</v>
      </c>
      <c r="BI48" s="70">
        <f t="shared" si="29"/>
        <v>0</v>
      </c>
      <c r="BJ48" s="71">
        <f t="shared" si="27"/>
        <v>2</v>
      </c>
      <c r="BK48" s="72">
        <f t="shared" si="28"/>
        <v>0</v>
      </c>
      <c r="BL48" s="179">
        <f t="shared" si="30"/>
        <v>0</v>
      </c>
    </row>
    <row r="49" spans="2:64" s="121" customFormat="1" ht="16.5" customHeight="1" x14ac:dyDescent="0.2">
      <c r="B49" s="120"/>
      <c r="C49" s="73" t="s">
        <v>202</v>
      </c>
      <c r="D49" s="73" t="s">
        <v>209</v>
      </c>
      <c r="E49" s="74" t="s">
        <v>697</v>
      </c>
      <c r="F49" s="75" t="s">
        <v>698</v>
      </c>
      <c r="G49" s="76" t="s">
        <v>578</v>
      </c>
      <c r="H49" s="77">
        <v>2</v>
      </c>
      <c r="I49" s="78"/>
      <c r="J49" s="77">
        <v>0</v>
      </c>
      <c r="K49" s="62" t="str">
        <f t="shared" si="0"/>
        <v/>
      </c>
      <c r="L49" s="63" t="str">
        <f t="shared" si="1"/>
        <v/>
      </c>
      <c r="M49" s="64"/>
      <c r="N49" s="65">
        <f t="shared" si="2"/>
        <v>0</v>
      </c>
      <c r="O49" s="64"/>
      <c r="P49" s="65">
        <f t="shared" si="3"/>
        <v>0</v>
      </c>
      <c r="Q49" s="66"/>
      <c r="R49" s="65">
        <f t="shared" si="4"/>
        <v>0</v>
      </c>
      <c r="S49" s="67"/>
      <c r="T49" s="65">
        <f t="shared" si="5"/>
        <v>0</v>
      </c>
      <c r="U49" s="67"/>
      <c r="V49" s="65">
        <f t="shared" si="6"/>
        <v>0</v>
      </c>
      <c r="W49" s="67"/>
      <c r="X49" s="65">
        <f t="shared" si="7"/>
        <v>0</v>
      </c>
      <c r="Y49" s="67"/>
      <c r="Z49" s="65">
        <f t="shared" si="8"/>
        <v>0</v>
      </c>
      <c r="AA49" s="67"/>
      <c r="AB49" s="65">
        <f t="shared" si="9"/>
        <v>0</v>
      </c>
      <c r="AC49" s="67"/>
      <c r="AD49" s="65">
        <f t="shared" si="10"/>
        <v>0</v>
      </c>
      <c r="AE49" s="67"/>
      <c r="AF49" s="65">
        <f t="shared" si="11"/>
        <v>0</v>
      </c>
      <c r="AG49" s="67"/>
      <c r="AH49" s="65">
        <f t="shared" si="12"/>
        <v>0</v>
      </c>
      <c r="AI49" s="67"/>
      <c r="AJ49" s="65">
        <f t="shared" si="13"/>
        <v>0</v>
      </c>
      <c r="AK49" s="67"/>
      <c r="AL49" s="65">
        <f t="shared" si="14"/>
        <v>0</v>
      </c>
      <c r="AM49" s="67"/>
      <c r="AN49" s="65">
        <f t="shared" si="15"/>
        <v>0</v>
      </c>
      <c r="AO49" s="67"/>
      <c r="AP49" s="65">
        <f t="shared" si="16"/>
        <v>0</v>
      </c>
      <c r="AQ49" s="67"/>
      <c r="AR49" s="65">
        <f t="shared" si="17"/>
        <v>0</v>
      </c>
      <c r="AS49" s="67"/>
      <c r="AT49" s="65">
        <f t="shared" si="18"/>
        <v>0</v>
      </c>
      <c r="AU49" s="67"/>
      <c r="AV49" s="65">
        <f t="shared" si="19"/>
        <v>0</v>
      </c>
      <c r="AW49" s="67"/>
      <c r="AX49" s="65">
        <f t="shared" si="20"/>
        <v>0</v>
      </c>
      <c r="AY49" s="67"/>
      <c r="AZ49" s="65">
        <f t="shared" si="21"/>
        <v>0</v>
      </c>
      <c r="BA49" s="67"/>
      <c r="BB49" s="65">
        <f t="shared" si="22"/>
        <v>0</v>
      </c>
      <c r="BC49" s="67"/>
      <c r="BD49" s="65">
        <f t="shared" si="23"/>
        <v>0</v>
      </c>
      <c r="BE49" s="67"/>
      <c r="BF49" s="65">
        <f t="shared" si="24"/>
        <v>0</v>
      </c>
      <c r="BG49" s="68">
        <f t="shared" si="25"/>
        <v>0</v>
      </c>
      <c r="BH49" s="69">
        <f t="shared" si="26"/>
        <v>0</v>
      </c>
      <c r="BI49" s="70">
        <f t="shared" si="29"/>
        <v>0</v>
      </c>
      <c r="BJ49" s="71">
        <f t="shared" si="27"/>
        <v>2</v>
      </c>
      <c r="BK49" s="72">
        <f t="shared" si="28"/>
        <v>0</v>
      </c>
      <c r="BL49" s="179">
        <f t="shared" si="30"/>
        <v>0</v>
      </c>
    </row>
    <row r="50" spans="2:64" s="121" customFormat="1" ht="16.5" customHeight="1" x14ac:dyDescent="0.2">
      <c r="B50" s="120"/>
      <c r="C50" s="73" t="s">
        <v>205</v>
      </c>
      <c r="D50" s="73" t="s">
        <v>209</v>
      </c>
      <c r="E50" s="74" t="s">
        <v>699</v>
      </c>
      <c r="F50" s="75" t="s">
        <v>700</v>
      </c>
      <c r="G50" s="76" t="s">
        <v>578</v>
      </c>
      <c r="H50" s="77">
        <v>1</v>
      </c>
      <c r="I50" s="78"/>
      <c r="J50" s="77">
        <v>0</v>
      </c>
      <c r="K50" s="62" t="str">
        <f t="shared" si="0"/>
        <v/>
      </c>
      <c r="L50" s="63" t="str">
        <f t="shared" si="1"/>
        <v/>
      </c>
      <c r="M50" s="64"/>
      <c r="N50" s="65">
        <f t="shared" si="2"/>
        <v>0</v>
      </c>
      <c r="O50" s="64"/>
      <c r="P50" s="65">
        <f t="shared" si="3"/>
        <v>0</v>
      </c>
      <c r="Q50" s="66"/>
      <c r="R50" s="65">
        <f t="shared" si="4"/>
        <v>0</v>
      </c>
      <c r="S50" s="67"/>
      <c r="T50" s="65">
        <f t="shared" si="5"/>
        <v>0</v>
      </c>
      <c r="U50" s="67"/>
      <c r="V50" s="65">
        <f t="shared" si="6"/>
        <v>0</v>
      </c>
      <c r="W50" s="67"/>
      <c r="X50" s="65">
        <f t="shared" si="7"/>
        <v>0</v>
      </c>
      <c r="Y50" s="67"/>
      <c r="Z50" s="65">
        <f t="shared" si="8"/>
        <v>0</v>
      </c>
      <c r="AA50" s="67"/>
      <c r="AB50" s="65">
        <f t="shared" si="9"/>
        <v>0</v>
      </c>
      <c r="AC50" s="67"/>
      <c r="AD50" s="65">
        <f t="shared" si="10"/>
        <v>0</v>
      </c>
      <c r="AE50" s="67"/>
      <c r="AF50" s="65">
        <f t="shared" si="11"/>
        <v>0</v>
      </c>
      <c r="AG50" s="67"/>
      <c r="AH50" s="65">
        <f t="shared" si="12"/>
        <v>0</v>
      </c>
      <c r="AI50" s="67"/>
      <c r="AJ50" s="65">
        <f t="shared" si="13"/>
        <v>0</v>
      </c>
      <c r="AK50" s="67"/>
      <c r="AL50" s="65">
        <f t="shared" si="14"/>
        <v>0</v>
      </c>
      <c r="AM50" s="67"/>
      <c r="AN50" s="65">
        <f t="shared" si="15"/>
        <v>0</v>
      </c>
      <c r="AO50" s="67"/>
      <c r="AP50" s="65">
        <f t="shared" si="16"/>
        <v>0</v>
      </c>
      <c r="AQ50" s="67"/>
      <c r="AR50" s="65">
        <f t="shared" si="17"/>
        <v>0</v>
      </c>
      <c r="AS50" s="67"/>
      <c r="AT50" s="65">
        <f t="shared" si="18"/>
        <v>0</v>
      </c>
      <c r="AU50" s="67"/>
      <c r="AV50" s="65">
        <f t="shared" si="19"/>
        <v>0</v>
      </c>
      <c r="AW50" s="67"/>
      <c r="AX50" s="65">
        <f t="shared" si="20"/>
        <v>0</v>
      </c>
      <c r="AY50" s="67"/>
      <c r="AZ50" s="65">
        <f t="shared" si="21"/>
        <v>0</v>
      </c>
      <c r="BA50" s="67"/>
      <c r="BB50" s="65">
        <f t="shared" si="22"/>
        <v>0</v>
      </c>
      <c r="BC50" s="67"/>
      <c r="BD50" s="65">
        <f t="shared" si="23"/>
        <v>0</v>
      </c>
      <c r="BE50" s="67"/>
      <c r="BF50" s="65">
        <f t="shared" si="24"/>
        <v>0</v>
      </c>
      <c r="BG50" s="68">
        <f t="shared" si="25"/>
        <v>0</v>
      </c>
      <c r="BH50" s="69">
        <f t="shared" si="26"/>
        <v>0</v>
      </c>
      <c r="BI50" s="70">
        <f t="shared" si="29"/>
        <v>0</v>
      </c>
      <c r="BJ50" s="71">
        <f t="shared" si="27"/>
        <v>1</v>
      </c>
      <c r="BK50" s="72">
        <f t="shared" si="28"/>
        <v>0</v>
      </c>
      <c r="BL50" s="179">
        <f t="shared" si="30"/>
        <v>0</v>
      </c>
    </row>
    <row r="51" spans="2:64" s="121" customFormat="1" ht="16.5" customHeight="1" x14ac:dyDescent="0.2">
      <c r="B51" s="120"/>
      <c r="C51" s="73" t="s">
        <v>208</v>
      </c>
      <c r="D51" s="73" t="s">
        <v>209</v>
      </c>
      <c r="E51" s="74" t="s">
        <v>701</v>
      </c>
      <c r="F51" s="75" t="s">
        <v>702</v>
      </c>
      <c r="G51" s="76" t="s">
        <v>578</v>
      </c>
      <c r="H51" s="77">
        <v>1</v>
      </c>
      <c r="I51" s="78"/>
      <c r="J51" s="77">
        <v>0</v>
      </c>
      <c r="K51" s="62" t="str">
        <f t="shared" si="0"/>
        <v/>
      </c>
      <c r="L51" s="63" t="str">
        <f t="shared" si="1"/>
        <v/>
      </c>
      <c r="M51" s="64"/>
      <c r="N51" s="65">
        <f t="shared" si="2"/>
        <v>0</v>
      </c>
      <c r="O51" s="64"/>
      <c r="P51" s="65">
        <f t="shared" si="3"/>
        <v>0</v>
      </c>
      <c r="Q51" s="66"/>
      <c r="R51" s="65">
        <f t="shared" si="4"/>
        <v>0</v>
      </c>
      <c r="S51" s="67"/>
      <c r="T51" s="65">
        <f t="shared" si="5"/>
        <v>0</v>
      </c>
      <c r="U51" s="67"/>
      <c r="V51" s="65">
        <f t="shared" si="6"/>
        <v>0</v>
      </c>
      <c r="W51" s="67"/>
      <c r="X51" s="65">
        <f t="shared" si="7"/>
        <v>0</v>
      </c>
      <c r="Y51" s="67"/>
      <c r="Z51" s="65">
        <f t="shared" si="8"/>
        <v>0</v>
      </c>
      <c r="AA51" s="67"/>
      <c r="AB51" s="65">
        <f t="shared" si="9"/>
        <v>0</v>
      </c>
      <c r="AC51" s="67"/>
      <c r="AD51" s="65">
        <f t="shared" si="10"/>
        <v>0</v>
      </c>
      <c r="AE51" s="67"/>
      <c r="AF51" s="65">
        <f t="shared" si="11"/>
        <v>0</v>
      </c>
      <c r="AG51" s="67"/>
      <c r="AH51" s="65">
        <f t="shared" si="12"/>
        <v>0</v>
      </c>
      <c r="AI51" s="67"/>
      <c r="AJ51" s="65">
        <f t="shared" si="13"/>
        <v>0</v>
      </c>
      <c r="AK51" s="67"/>
      <c r="AL51" s="65">
        <f t="shared" si="14"/>
        <v>0</v>
      </c>
      <c r="AM51" s="67"/>
      <c r="AN51" s="65">
        <f t="shared" si="15"/>
        <v>0</v>
      </c>
      <c r="AO51" s="67"/>
      <c r="AP51" s="65">
        <f t="shared" si="16"/>
        <v>0</v>
      </c>
      <c r="AQ51" s="67"/>
      <c r="AR51" s="65">
        <f t="shared" si="17"/>
        <v>0</v>
      </c>
      <c r="AS51" s="67"/>
      <c r="AT51" s="65">
        <f t="shared" si="18"/>
        <v>0</v>
      </c>
      <c r="AU51" s="67"/>
      <c r="AV51" s="65">
        <f t="shared" si="19"/>
        <v>0</v>
      </c>
      <c r="AW51" s="67"/>
      <c r="AX51" s="65">
        <f t="shared" si="20"/>
        <v>0</v>
      </c>
      <c r="AY51" s="67"/>
      <c r="AZ51" s="65">
        <f t="shared" si="21"/>
        <v>0</v>
      </c>
      <c r="BA51" s="67"/>
      <c r="BB51" s="65">
        <f t="shared" si="22"/>
        <v>0</v>
      </c>
      <c r="BC51" s="67"/>
      <c r="BD51" s="65">
        <f t="shared" si="23"/>
        <v>0</v>
      </c>
      <c r="BE51" s="67"/>
      <c r="BF51" s="65">
        <f t="shared" si="24"/>
        <v>0</v>
      </c>
      <c r="BG51" s="68">
        <f t="shared" si="25"/>
        <v>0</v>
      </c>
      <c r="BH51" s="69">
        <f t="shared" si="26"/>
        <v>0</v>
      </c>
      <c r="BI51" s="70">
        <f t="shared" si="29"/>
        <v>0</v>
      </c>
      <c r="BJ51" s="71">
        <f t="shared" si="27"/>
        <v>1</v>
      </c>
      <c r="BK51" s="72">
        <f t="shared" si="28"/>
        <v>0</v>
      </c>
      <c r="BL51" s="179">
        <f t="shared" si="30"/>
        <v>0</v>
      </c>
    </row>
    <row r="52" spans="2:64" s="121" customFormat="1" ht="16.5" customHeight="1" x14ac:dyDescent="0.2">
      <c r="B52" s="120"/>
      <c r="C52" s="73" t="s">
        <v>212</v>
      </c>
      <c r="D52" s="73" t="s">
        <v>209</v>
      </c>
      <c r="E52" s="74" t="s">
        <v>703</v>
      </c>
      <c r="F52" s="75" t="s">
        <v>704</v>
      </c>
      <c r="G52" s="76" t="s">
        <v>578</v>
      </c>
      <c r="H52" s="77">
        <v>1</v>
      </c>
      <c r="I52" s="78"/>
      <c r="J52" s="77">
        <v>0</v>
      </c>
      <c r="K52" s="62" t="str">
        <f t="shared" si="0"/>
        <v/>
      </c>
      <c r="L52" s="63" t="str">
        <f t="shared" si="1"/>
        <v/>
      </c>
      <c r="M52" s="64"/>
      <c r="N52" s="65">
        <f t="shared" si="2"/>
        <v>0</v>
      </c>
      <c r="O52" s="64"/>
      <c r="P52" s="65">
        <f t="shared" si="3"/>
        <v>0</v>
      </c>
      <c r="Q52" s="66"/>
      <c r="R52" s="65">
        <f t="shared" si="4"/>
        <v>0</v>
      </c>
      <c r="S52" s="67"/>
      <c r="T52" s="65">
        <f t="shared" si="5"/>
        <v>0</v>
      </c>
      <c r="U52" s="67"/>
      <c r="V52" s="65">
        <f t="shared" si="6"/>
        <v>0</v>
      </c>
      <c r="W52" s="67"/>
      <c r="X52" s="65">
        <f t="shared" si="7"/>
        <v>0</v>
      </c>
      <c r="Y52" s="67"/>
      <c r="Z52" s="65">
        <f t="shared" si="8"/>
        <v>0</v>
      </c>
      <c r="AA52" s="67"/>
      <c r="AB52" s="65">
        <f t="shared" si="9"/>
        <v>0</v>
      </c>
      <c r="AC52" s="67"/>
      <c r="AD52" s="65">
        <f t="shared" si="10"/>
        <v>0</v>
      </c>
      <c r="AE52" s="67"/>
      <c r="AF52" s="65">
        <f t="shared" si="11"/>
        <v>0</v>
      </c>
      <c r="AG52" s="67"/>
      <c r="AH52" s="65">
        <f t="shared" si="12"/>
        <v>0</v>
      </c>
      <c r="AI52" s="67"/>
      <c r="AJ52" s="65">
        <f t="shared" si="13"/>
        <v>0</v>
      </c>
      <c r="AK52" s="67"/>
      <c r="AL52" s="65">
        <f t="shared" si="14"/>
        <v>0</v>
      </c>
      <c r="AM52" s="67"/>
      <c r="AN52" s="65">
        <f t="shared" si="15"/>
        <v>0</v>
      </c>
      <c r="AO52" s="67"/>
      <c r="AP52" s="65">
        <f t="shared" si="16"/>
        <v>0</v>
      </c>
      <c r="AQ52" s="67"/>
      <c r="AR52" s="65">
        <f t="shared" si="17"/>
        <v>0</v>
      </c>
      <c r="AS52" s="67"/>
      <c r="AT52" s="65">
        <f t="shared" si="18"/>
        <v>0</v>
      </c>
      <c r="AU52" s="67"/>
      <c r="AV52" s="65">
        <f t="shared" si="19"/>
        <v>0</v>
      </c>
      <c r="AW52" s="67"/>
      <c r="AX52" s="65">
        <f t="shared" si="20"/>
        <v>0</v>
      </c>
      <c r="AY52" s="67"/>
      <c r="AZ52" s="65">
        <f t="shared" si="21"/>
        <v>0</v>
      </c>
      <c r="BA52" s="67"/>
      <c r="BB52" s="65">
        <f t="shared" si="22"/>
        <v>0</v>
      </c>
      <c r="BC52" s="67"/>
      <c r="BD52" s="65">
        <f t="shared" si="23"/>
        <v>0</v>
      </c>
      <c r="BE52" s="67"/>
      <c r="BF52" s="65">
        <f t="shared" si="24"/>
        <v>0</v>
      </c>
      <c r="BG52" s="68">
        <f t="shared" si="25"/>
        <v>0</v>
      </c>
      <c r="BH52" s="69">
        <f t="shared" si="26"/>
        <v>0</v>
      </c>
      <c r="BI52" s="70">
        <f t="shared" si="29"/>
        <v>0</v>
      </c>
      <c r="BJ52" s="71">
        <f t="shared" si="27"/>
        <v>1</v>
      </c>
      <c r="BK52" s="72">
        <f t="shared" si="28"/>
        <v>0</v>
      </c>
      <c r="BL52" s="179">
        <f t="shared" si="30"/>
        <v>0</v>
      </c>
    </row>
    <row r="53" spans="2:64" s="121" customFormat="1" ht="16.5" customHeight="1" x14ac:dyDescent="0.2">
      <c r="B53" s="120"/>
      <c r="C53" s="73" t="s">
        <v>215</v>
      </c>
      <c r="D53" s="73" t="s">
        <v>209</v>
      </c>
      <c r="E53" s="74" t="s">
        <v>705</v>
      </c>
      <c r="F53" s="75" t="s">
        <v>706</v>
      </c>
      <c r="G53" s="76" t="s">
        <v>578</v>
      </c>
      <c r="H53" s="77">
        <v>1</v>
      </c>
      <c r="I53" s="78"/>
      <c r="J53" s="77">
        <v>0</v>
      </c>
      <c r="K53" s="62" t="str">
        <f t="shared" si="0"/>
        <v/>
      </c>
      <c r="L53" s="63" t="str">
        <f t="shared" si="1"/>
        <v/>
      </c>
      <c r="M53" s="64"/>
      <c r="N53" s="65">
        <f t="shared" si="2"/>
        <v>0</v>
      </c>
      <c r="O53" s="64"/>
      <c r="P53" s="65">
        <f t="shared" si="3"/>
        <v>0</v>
      </c>
      <c r="Q53" s="66"/>
      <c r="R53" s="65">
        <f t="shared" si="4"/>
        <v>0</v>
      </c>
      <c r="S53" s="67"/>
      <c r="T53" s="65">
        <f t="shared" si="5"/>
        <v>0</v>
      </c>
      <c r="U53" s="67"/>
      <c r="V53" s="65">
        <f t="shared" si="6"/>
        <v>0</v>
      </c>
      <c r="W53" s="67"/>
      <c r="X53" s="65">
        <f t="shared" si="7"/>
        <v>0</v>
      </c>
      <c r="Y53" s="67"/>
      <c r="Z53" s="65">
        <f t="shared" si="8"/>
        <v>0</v>
      </c>
      <c r="AA53" s="67"/>
      <c r="AB53" s="65">
        <f t="shared" si="9"/>
        <v>0</v>
      </c>
      <c r="AC53" s="67"/>
      <c r="AD53" s="65">
        <f t="shared" si="10"/>
        <v>0</v>
      </c>
      <c r="AE53" s="67"/>
      <c r="AF53" s="65">
        <f t="shared" si="11"/>
        <v>0</v>
      </c>
      <c r="AG53" s="67"/>
      <c r="AH53" s="65">
        <f t="shared" si="12"/>
        <v>0</v>
      </c>
      <c r="AI53" s="67"/>
      <c r="AJ53" s="65">
        <f t="shared" si="13"/>
        <v>0</v>
      </c>
      <c r="AK53" s="67"/>
      <c r="AL53" s="65">
        <f t="shared" si="14"/>
        <v>0</v>
      </c>
      <c r="AM53" s="67"/>
      <c r="AN53" s="65">
        <f t="shared" si="15"/>
        <v>0</v>
      </c>
      <c r="AO53" s="67"/>
      <c r="AP53" s="65">
        <f t="shared" si="16"/>
        <v>0</v>
      </c>
      <c r="AQ53" s="67"/>
      <c r="AR53" s="65">
        <f t="shared" si="17"/>
        <v>0</v>
      </c>
      <c r="AS53" s="67"/>
      <c r="AT53" s="65">
        <f t="shared" si="18"/>
        <v>0</v>
      </c>
      <c r="AU53" s="67"/>
      <c r="AV53" s="65">
        <f t="shared" si="19"/>
        <v>0</v>
      </c>
      <c r="AW53" s="67"/>
      <c r="AX53" s="65">
        <f t="shared" si="20"/>
        <v>0</v>
      </c>
      <c r="AY53" s="67"/>
      <c r="AZ53" s="65">
        <f t="shared" si="21"/>
        <v>0</v>
      </c>
      <c r="BA53" s="67"/>
      <c r="BB53" s="65">
        <f t="shared" si="22"/>
        <v>0</v>
      </c>
      <c r="BC53" s="67"/>
      <c r="BD53" s="65">
        <f t="shared" si="23"/>
        <v>0</v>
      </c>
      <c r="BE53" s="67"/>
      <c r="BF53" s="65">
        <f t="shared" si="24"/>
        <v>0</v>
      </c>
      <c r="BG53" s="68">
        <f t="shared" si="25"/>
        <v>0</v>
      </c>
      <c r="BH53" s="69">
        <f t="shared" si="26"/>
        <v>0</v>
      </c>
      <c r="BI53" s="70">
        <f t="shared" si="29"/>
        <v>0</v>
      </c>
      <c r="BJ53" s="71">
        <f t="shared" si="27"/>
        <v>1</v>
      </c>
      <c r="BK53" s="72">
        <f t="shared" si="28"/>
        <v>0</v>
      </c>
      <c r="BL53" s="179">
        <f t="shared" si="30"/>
        <v>0</v>
      </c>
    </row>
    <row r="54" spans="2:64" s="121" customFormat="1" ht="16.5" customHeight="1" x14ac:dyDescent="0.2">
      <c r="B54" s="120"/>
      <c r="C54" s="73" t="s">
        <v>219</v>
      </c>
      <c r="D54" s="73" t="s">
        <v>209</v>
      </c>
      <c r="E54" s="74" t="s">
        <v>707</v>
      </c>
      <c r="F54" s="75" t="s">
        <v>708</v>
      </c>
      <c r="G54" s="76" t="s">
        <v>578</v>
      </c>
      <c r="H54" s="77">
        <v>4</v>
      </c>
      <c r="I54" s="78"/>
      <c r="J54" s="77">
        <v>0</v>
      </c>
      <c r="K54" s="62" t="str">
        <f t="shared" si="0"/>
        <v/>
      </c>
      <c r="L54" s="63" t="str">
        <f t="shared" si="1"/>
        <v/>
      </c>
      <c r="M54" s="64"/>
      <c r="N54" s="65">
        <f t="shared" si="2"/>
        <v>0</v>
      </c>
      <c r="O54" s="64"/>
      <c r="P54" s="65">
        <f t="shared" si="3"/>
        <v>0</v>
      </c>
      <c r="Q54" s="66"/>
      <c r="R54" s="65">
        <f t="shared" si="4"/>
        <v>0</v>
      </c>
      <c r="S54" s="67"/>
      <c r="T54" s="65">
        <f t="shared" si="5"/>
        <v>0</v>
      </c>
      <c r="U54" s="67"/>
      <c r="V54" s="65">
        <f t="shared" si="6"/>
        <v>0</v>
      </c>
      <c r="W54" s="67"/>
      <c r="X54" s="65">
        <f t="shared" si="7"/>
        <v>0</v>
      </c>
      <c r="Y54" s="67"/>
      <c r="Z54" s="65">
        <f t="shared" si="8"/>
        <v>0</v>
      </c>
      <c r="AA54" s="67"/>
      <c r="AB54" s="65">
        <f t="shared" si="9"/>
        <v>0</v>
      </c>
      <c r="AC54" s="67"/>
      <c r="AD54" s="65">
        <f t="shared" si="10"/>
        <v>0</v>
      </c>
      <c r="AE54" s="67"/>
      <c r="AF54" s="65">
        <f t="shared" si="11"/>
        <v>0</v>
      </c>
      <c r="AG54" s="67"/>
      <c r="AH54" s="65">
        <f t="shared" si="12"/>
        <v>0</v>
      </c>
      <c r="AI54" s="67"/>
      <c r="AJ54" s="65">
        <f t="shared" si="13"/>
        <v>0</v>
      </c>
      <c r="AK54" s="67"/>
      <c r="AL54" s="65">
        <f t="shared" si="14"/>
        <v>0</v>
      </c>
      <c r="AM54" s="67"/>
      <c r="AN54" s="65">
        <f t="shared" si="15"/>
        <v>0</v>
      </c>
      <c r="AO54" s="67"/>
      <c r="AP54" s="65">
        <f t="shared" si="16"/>
        <v>0</v>
      </c>
      <c r="AQ54" s="67"/>
      <c r="AR54" s="65">
        <f t="shared" si="17"/>
        <v>0</v>
      </c>
      <c r="AS54" s="67"/>
      <c r="AT54" s="65">
        <f t="shared" si="18"/>
        <v>0</v>
      </c>
      <c r="AU54" s="67"/>
      <c r="AV54" s="65">
        <f t="shared" si="19"/>
        <v>0</v>
      </c>
      <c r="AW54" s="67"/>
      <c r="AX54" s="65">
        <f t="shared" si="20"/>
        <v>0</v>
      </c>
      <c r="AY54" s="67"/>
      <c r="AZ54" s="65">
        <f t="shared" si="21"/>
        <v>0</v>
      </c>
      <c r="BA54" s="67"/>
      <c r="BB54" s="65">
        <f t="shared" si="22"/>
        <v>0</v>
      </c>
      <c r="BC54" s="67"/>
      <c r="BD54" s="65">
        <f t="shared" si="23"/>
        <v>0</v>
      </c>
      <c r="BE54" s="67"/>
      <c r="BF54" s="65">
        <f t="shared" si="24"/>
        <v>0</v>
      </c>
      <c r="BG54" s="68">
        <f t="shared" si="25"/>
        <v>0</v>
      </c>
      <c r="BH54" s="69">
        <f t="shared" si="26"/>
        <v>0</v>
      </c>
      <c r="BI54" s="70">
        <f t="shared" si="29"/>
        <v>0</v>
      </c>
      <c r="BJ54" s="71">
        <f t="shared" si="27"/>
        <v>4</v>
      </c>
      <c r="BK54" s="72">
        <f t="shared" si="28"/>
        <v>0</v>
      </c>
      <c r="BL54" s="179">
        <f t="shared" si="30"/>
        <v>0</v>
      </c>
    </row>
    <row r="55" spans="2:64" s="121" customFormat="1" ht="16.5" customHeight="1" x14ac:dyDescent="0.2">
      <c r="B55" s="120"/>
      <c r="C55" s="73" t="s">
        <v>223</v>
      </c>
      <c r="D55" s="73" t="s">
        <v>209</v>
      </c>
      <c r="E55" s="74" t="s">
        <v>709</v>
      </c>
      <c r="F55" s="75" t="s">
        <v>710</v>
      </c>
      <c r="G55" s="76" t="s">
        <v>578</v>
      </c>
      <c r="H55" s="77">
        <v>2</v>
      </c>
      <c r="I55" s="78"/>
      <c r="J55" s="77">
        <v>0</v>
      </c>
      <c r="K55" s="62" t="str">
        <f t="shared" si="0"/>
        <v/>
      </c>
      <c r="L55" s="63" t="str">
        <f t="shared" si="1"/>
        <v/>
      </c>
      <c r="M55" s="64"/>
      <c r="N55" s="65">
        <f t="shared" si="2"/>
        <v>0</v>
      </c>
      <c r="O55" s="64"/>
      <c r="P55" s="65">
        <f t="shared" si="3"/>
        <v>0</v>
      </c>
      <c r="Q55" s="66"/>
      <c r="R55" s="65">
        <f t="shared" si="4"/>
        <v>0</v>
      </c>
      <c r="S55" s="67"/>
      <c r="T55" s="65">
        <f t="shared" si="5"/>
        <v>0</v>
      </c>
      <c r="U55" s="67"/>
      <c r="V55" s="65">
        <f t="shared" si="6"/>
        <v>0</v>
      </c>
      <c r="W55" s="67"/>
      <c r="X55" s="65">
        <f t="shared" si="7"/>
        <v>0</v>
      </c>
      <c r="Y55" s="67"/>
      <c r="Z55" s="65">
        <f t="shared" si="8"/>
        <v>0</v>
      </c>
      <c r="AA55" s="67"/>
      <c r="AB55" s="65">
        <f t="shared" si="9"/>
        <v>0</v>
      </c>
      <c r="AC55" s="67"/>
      <c r="AD55" s="65">
        <f t="shared" si="10"/>
        <v>0</v>
      </c>
      <c r="AE55" s="67"/>
      <c r="AF55" s="65">
        <f t="shared" si="11"/>
        <v>0</v>
      </c>
      <c r="AG55" s="67"/>
      <c r="AH55" s="65">
        <f t="shared" si="12"/>
        <v>0</v>
      </c>
      <c r="AI55" s="67"/>
      <c r="AJ55" s="65">
        <f t="shared" si="13"/>
        <v>0</v>
      </c>
      <c r="AK55" s="67"/>
      <c r="AL55" s="65">
        <f t="shared" si="14"/>
        <v>0</v>
      </c>
      <c r="AM55" s="67"/>
      <c r="AN55" s="65">
        <f t="shared" si="15"/>
        <v>0</v>
      </c>
      <c r="AO55" s="67"/>
      <c r="AP55" s="65">
        <f t="shared" si="16"/>
        <v>0</v>
      </c>
      <c r="AQ55" s="67"/>
      <c r="AR55" s="65">
        <f t="shared" si="17"/>
        <v>0</v>
      </c>
      <c r="AS55" s="67"/>
      <c r="AT55" s="65">
        <f t="shared" si="18"/>
        <v>0</v>
      </c>
      <c r="AU55" s="67"/>
      <c r="AV55" s="65">
        <f t="shared" si="19"/>
        <v>0</v>
      </c>
      <c r="AW55" s="67"/>
      <c r="AX55" s="65">
        <f t="shared" si="20"/>
        <v>0</v>
      </c>
      <c r="AY55" s="67"/>
      <c r="AZ55" s="65">
        <f t="shared" si="21"/>
        <v>0</v>
      </c>
      <c r="BA55" s="67"/>
      <c r="BB55" s="65">
        <f t="shared" si="22"/>
        <v>0</v>
      </c>
      <c r="BC55" s="67"/>
      <c r="BD55" s="65">
        <f t="shared" si="23"/>
        <v>0</v>
      </c>
      <c r="BE55" s="67"/>
      <c r="BF55" s="65">
        <f t="shared" si="24"/>
        <v>0</v>
      </c>
      <c r="BG55" s="68">
        <f t="shared" si="25"/>
        <v>0</v>
      </c>
      <c r="BH55" s="69">
        <f t="shared" si="26"/>
        <v>0</v>
      </c>
      <c r="BI55" s="70">
        <f t="shared" si="29"/>
        <v>0</v>
      </c>
      <c r="BJ55" s="71">
        <f t="shared" si="27"/>
        <v>2</v>
      </c>
      <c r="BK55" s="72">
        <f t="shared" si="28"/>
        <v>0</v>
      </c>
      <c r="BL55" s="179">
        <f t="shared" si="30"/>
        <v>0</v>
      </c>
    </row>
    <row r="56" spans="2:64" s="121" customFormat="1" ht="16.5" customHeight="1" x14ac:dyDescent="0.2">
      <c r="B56" s="120"/>
      <c r="C56" s="73" t="s">
        <v>226</v>
      </c>
      <c r="D56" s="73" t="s">
        <v>209</v>
      </c>
      <c r="E56" s="74" t="s">
        <v>707</v>
      </c>
      <c r="F56" s="75" t="s">
        <v>708</v>
      </c>
      <c r="G56" s="76" t="s">
        <v>578</v>
      </c>
      <c r="H56" s="77">
        <v>40</v>
      </c>
      <c r="I56" s="78"/>
      <c r="J56" s="77">
        <v>0</v>
      </c>
      <c r="K56" s="62" t="str">
        <f t="shared" si="0"/>
        <v/>
      </c>
      <c r="L56" s="63" t="str">
        <f t="shared" si="1"/>
        <v/>
      </c>
      <c r="M56" s="64"/>
      <c r="N56" s="65">
        <f t="shared" si="2"/>
        <v>0</v>
      </c>
      <c r="O56" s="64"/>
      <c r="P56" s="65">
        <f t="shared" si="3"/>
        <v>0</v>
      </c>
      <c r="Q56" s="66"/>
      <c r="R56" s="65">
        <f t="shared" si="4"/>
        <v>0</v>
      </c>
      <c r="S56" s="67"/>
      <c r="T56" s="65">
        <f t="shared" si="5"/>
        <v>0</v>
      </c>
      <c r="U56" s="67"/>
      <c r="V56" s="65">
        <f t="shared" si="6"/>
        <v>0</v>
      </c>
      <c r="W56" s="67"/>
      <c r="X56" s="65">
        <f t="shared" si="7"/>
        <v>0</v>
      </c>
      <c r="Y56" s="67"/>
      <c r="Z56" s="65">
        <f t="shared" si="8"/>
        <v>0</v>
      </c>
      <c r="AA56" s="67"/>
      <c r="AB56" s="65">
        <f t="shared" si="9"/>
        <v>0</v>
      </c>
      <c r="AC56" s="67"/>
      <c r="AD56" s="65">
        <f t="shared" si="10"/>
        <v>0</v>
      </c>
      <c r="AE56" s="67"/>
      <c r="AF56" s="65">
        <f t="shared" si="11"/>
        <v>0</v>
      </c>
      <c r="AG56" s="67"/>
      <c r="AH56" s="65">
        <f t="shared" si="12"/>
        <v>0</v>
      </c>
      <c r="AI56" s="67"/>
      <c r="AJ56" s="65">
        <f t="shared" si="13"/>
        <v>0</v>
      </c>
      <c r="AK56" s="67"/>
      <c r="AL56" s="65">
        <f t="shared" si="14"/>
        <v>0</v>
      </c>
      <c r="AM56" s="67"/>
      <c r="AN56" s="65">
        <f t="shared" si="15"/>
        <v>0</v>
      </c>
      <c r="AO56" s="67"/>
      <c r="AP56" s="65">
        <f t="shared" si="16"/>
        <v>0</v>
      </c>
      <c r="AQ56" s="67"/>
      <c r="AR56" s="65">
        <f t="shared" si="17"/>
        <v>0</v>
      </c>
      <c r="AS56" s="67"/>
      <c r="AT56" s="65">
        <f t="shared" si="18"/>
        <v>0</v>
      </c>
      <c r="AU56" s="67"/>
      <c r="AV56" s="65">
        <f t="shared" si="19"/>
        <v>0</v>
      </c>
      <c r="AW56" s="67"/>
      <c r="AX56" s="65">
        <f t="shared" si="20"/>
        <v>0</v>
      </c>
      <c r="AY56" s="67"/>
      <c r="AZ56" s="65">
        <f t="shared" si="21"/>
        <v>0</v>
      </c>
      <c r="BA56" s="67"/>
      <c r="BB56" s="65">
        <f t="shared" si="22"/>
        <v>0</v>
      </c>
      <c r="BC56" s="67"/>
      <c r="BD56" s="65">
        <f t="shared" si="23"/>
        <v>0</v>
      </c>
      <c r="BE56" s="67"/>
      <c r="BF56" s="65">
        <f t="shared" si="24"/>
        <v>0</v>
      </c>
      <c r="BG56" s="68">
        <f t="shared" si="25"/>
        <v>0</v>
      </c>
      <c r="BH56" s="69">
        <f t="shared" si="26"/>
        <v>0</v>
      </c>
      <c r="BI56" s="70">
        <f t="shared" si="29"/>
        <v>0</v>
      </c>
      <c r="BJ56" s="71">
        <f t="shared" si="27"/>
        <v>40</v>
      </c>
      <c r="BK56" s="72">
        <f t="shared" si="28"/>
        <v>0</v>
      </c>
      <c r="BL56" s="179">
        <f t="shared" si="30"/>
        <v>0</v>
      </c>
    </row>
    <row r="57" spans="2:64" s="121" customFormat="1" ht="16.5" customHeight="1" x14ac:dyDescent="0.2">
      <c r="B57" s="120"/>
      <c r="C57" s="73" t="s">
        <v>230</v>
      </c>
      <c r="D57" s="73" t="s">
        <v>209</v>
      </c>
      <c r="E57" s="74" t="s">
        <v>709</v>
      </c>
      <c r="F57" s="75" t="s">
        <v>710</v>
      </c>
      <c r="G57" s="76" t="s">
        <v>578</v>
      </c>
      <c r="H57" s="77">
        <v>4</v>
      </c>
      <c r="I57" s="78"/>
      <c r="J57" s="77">
        <v>0</v>
      </c>
      <c r="K57" s="62" t="str">
        <f t="shared" si="0"/>
        <v/>
      </c>
      <c r="L57" s="63" t="str">
        <f t="shared" si="1"/>
        <v/>
      </c>
      <c r="M57" s="64"/>
      <c r="N57" s="65">
        <f t="shared" si="2"/>
        <v>0</v>
      </c>
      <c r="O57" s="64"/>
      <c r="P57" s="65">
        <f t="shared" si="3"/>
        <v>0</v>
      </c>
      <c r="Q57" s="66"/>
      <c r="R57" s="65">
        <f t="shared" si="4"/>
        <v>0</v>
      </c>
      <c r="S57" s="67"/>
      <c r="T57" s="65">
        <f t="shared" si="5"/>
        <v>0</v>
      </c>
      <c r="U57" s="67"/>
      <c r="V57" s="65">
        <f t="shared" si="6"/>
        <v>0</v>
      </c>
      <c r="W57" s="67"/>
      <c r="X57" s="65">
        <f t="shared" si="7"/>
        <v>0</v>
      </c>
      <c r="Y57" s="67"/>
      <c r="Z57" s="65">
        <f t="shared" si="8"/>
        <v>0</v>
      </c>
      <c r="AA57" s="67"/>
      <c r="AB57" s="65">
        <f t="shared" si="9"/>
        <v>0</v>
      </c>
      <c r="AC57" s="67"/>
      <c r="AD57" s="65">
        <f t="shared" si="10"/>
        <v>0</v>
      </c>
      <c r="AE57" s="67"/>
      <c r="AF57" s="65">
        <f t="shared" si="11"/>
        <v>0</v>
      </c>
      <c r="AG57" s="67"/>
      <c r="AH57" s="65">
        <f t="shared" si="12"/>
        <v>0</v>
      </c>
      <c r="AI57" s="67"/>
      <c r="AJ57" s="65">
        <f t="shared" si="13"/>
        <v>0</v>
      </c>
      <c r="AK57" s="67"/>
      <c r="AL57" s="65">
        <f t="shared" si="14"/>
        <v>0</v>
      </c>
      <c r="AM57" s="67"/>
      <c r="AN57" s="65">
        <f t="shared" si="15"/>
        <v>0</v>
      </c>
      <c r="AO57" s="67"/>
      <c r="AP57" s="65">
        <f t="shared" si="16"/>
        <v>0</v>
      </c>
      <c r="AQ57" s="67"/>
      <c r="AR57" s="65">
        <f t="shared" si="17"/>
        <v>0</v>
      </c>
      <c r="AS57" s="67"/>
      <c r="AT57" s="65">
        <f t="shared" si="18"/>
        <v>0</v>
      </c>
      <c r="AU57" s="67"/>
      <c r="AV57" s="65">
        <f t="shared" si="19"/>
        <v>0</v>
      </c>
      <c r="AW57" s="67"/>
      <c r="AX57" s="65">
        <f t="shared" si="20"/>
        <v>0</v>
      </c>
      <c r="AY57" s="67"/>
      <c r="AZ57" s="65">
        <f t="shared" si="21"/>
        <v>0</v>
      </c>
      <c r="BA57" s="67"/>
      <c r="BB57" s="65">
        <f t="shared" si="22"/>
        <v>0</v>
      </c>
      <c r="BC57" s="67"/>
      <c r="BD57" s="65">
        <f t="shared" si="23"/>
        <v>0</v>
      </c>
      <c r="BE57" s="67"/>
      <c r="BF57" s="65">
        <f t="shared" si="24"/>
        <v>0</v>
      </c>
      <c r="BG57" s="68">
        <f t="shared" si="25"/>
        <v>0</v>
      </c>
      <c r="BH57" s="69">
        <f t="shared" si="26"/>
        <v>0</v>
      </c>
      <c r="BI57" s="70">
        <f t="shared" si="29"/>
        <v>0</v>
      </c>
      <c r="BJ57" s="71">
        <f t="shared" si="27"/>
        <v>4</v>
      </c>
      <c r="BK57" s="72">
        <f t="shared" si="28"/>
        <v>0</v>
      </c>
      <c r="BL57" s="179">
        <f t="shared" si="30"/>
        <v>0</v>
      </c>
    </row>
    <row r="58" spans="2:64" s="121" customFormat="1" ht="16.5" customHeight="1" x14ac:dyDescent="0.2">
      <c r="B58" s="120"/>
      <c r="C58" s="73" t="s">
        <v>233</v>
      </c>
      <c r="D58" s="73" t="s">
        <v>209</v>
      </c>
      <c r="E58" s="74" t="s">
        <v>711</v>
      </c>
      <c r="F58" s="75" t="s">
        <v>712</v>
      </c>
      <c r="G58" s="76" t="s">
        <v>578</v>
      </c>
      <c r="H58" s="77">
        <v>4</v>
      </c>
      <c r="I58" s="78"/>
      <c r="J58" s="77">
        <v>0</v>
      </c>
      <c r="K58" s="62" t="str">
        <f t="shared" si="0"/>
        <v/>
      </c>
      <c r="L58" s="63" t="str">
        <f t="shared" si="1"/>
        <v/>
      </c>
      <c r="M58" s="64"/>
      <c r="N58" s="65">
        <f t="shared" si="2"/>
        <v>0</v>
      </c>
      <c r="O58" s="64"/>
      <c r="P58" s="65">
        <f t="shared" si="3"/>
        <v>0</v>
      </c>
      <c r="Q58" s="66"/>
      <c r="R58" s="65">
        <f t="shared" si="4"/>
        <v>0</v>
      </c>
      <c r="S58" s="67"/>
      <c r="T58" s="65">
        <f t="shared" si="5"/>
        <v>0</v>
      </c>
      <c r="U58" s="67"/>
      <c r="V58" s="65">
        <f t="shared" si="6"/>
        <v>0</v>
      </c>
      <c r="W58" s="67"/>
      <c r="X58" s="65">
        <f t="shared" si="7"/>
        <v>0</v>
      </c>
      <c r="Y58" s="67"/>
      <c r="Z58" s="65">
        <f t="shared" si="8"/>
        <v>0</v>
      </c>
      <c r="AA58" s="67"/>
      <c r="AB58" s="65">
        <f t="shared" si="9"/>
        <v>0</v>
      </c>
      <c r="AC58" s="67"/>
      <c r="AD58" s="65">
        <f t="shared" si="10"/>
        <v>0</v>
      </c>
      <c r="AE58" s="67"/>
      <c r="AF58" s="65">
        <f t="shared" si="11"/>
        <v>0</v>
      </c>
      <c r="AG58" s="67"/>
      <c r="AH58" s="65">
        <f t="shared" si="12"/>
        <v>0</v>
      </c>
      <c r="AI58" s="67"/>
      <c r="AJ58" s="65">
        <f t="shared" si="13"/>
        <v>0</v>
      </c>
      <c r="AK58" s="67"/>
      <c r="AL58" s="65">
        <f t="shared" si="14"/>
        <v>0</v>
      </c>
      <c r="AM58" s="67"/>
      <c r="AN58" s="65">
        <f t="shared" si="15"/>
        <v>0</v>
      </c>
      <c r="AO58" s="67"/>
      <c r="AP58" s="65">
        <f t="shared" si="16"/>
        <v>0</v>
      </c>
      <c r="AQ58" s="67"/>
      <c r="AR58" s="65">
        <f t="shared" si="17"/>
        <v>0</v>
      </c>
      <c r="AS58" s="67"/>
      <c r="AT58" s="65">
        <f t="shared" si="18"/>
        <v>0</v>
      </c>
      <c r="AU58" s="67"/>
      <c r="AV58" s="65">
        <f t="shared" si="19"/>
        <v>0</v>
      </c>
      <c r="AW58" s="67"/>
      <c r="AX58" s="65">
        <f t="shared" si="20"/>
        <v>0</v>
      </c>
      <c r="AY58" s="67"/>
      <c r="AZ58" s="65">
        <f t="shared" si="21"/>
        <v>0</v>
      </c>
      <c r="BA58" s="67"/>
      <c r="BB58" s="65">
        <f t="shared" si="22"/>
        <v>0</v>
      </c>
      <c r="BC58" s="67"/>
      <c r="BD58" s="65">
        <f t="shared" si="23"/>
        <v>0</v>
      </c>
      <c r="BE58" s="67"/>
      <c r="BF58" s="65">
        <f t="shared" si="24"/>
        <v>0</v>
      </c>
      <c r="BG58" s="68">
        <f t="shared" si="25"/>
        <v>0</v>
      </c>
      <c r="BH58" s="69">
        <f t="shared" si="26"/>
        <v>0</v>
      </c>
      <c r="BI58" s="70">
        <f t="shared" si="29"/>
        <v>0</v>
      </c>
      <c r="BJ58" s="71">
        <f t="shared" si="27"/>
        <v>4</v>
      </c>
      <c r="BK58" s="72">
        <f t="shared" si="28"/>
        <v>0</v>
      </c>
      <c r="BL58" s="179">
        <f t="shared" si="30"/>
        <v>0</v>
      </c>
    </row>
    <row r="59" spans="2:64" s="121" customFormat="1" ht="16.5" customHeight="1" x14ac:dyDescent="0.2">
      <c r="B59" s="120"/>
      <c r="C59" s="73" t="s">
        <v>236</v>
      </c>
      <c r="D59" s="73" t="s">
        <v>209</v>
      </c>
      <c r="E59" s="74" t="s">
        <v>713</v>
      </c>
      <c r="F59" s="75" t="s">
        <v>714</v>
      </c>
      <c r="G59" s="76" t="s">
        <v>133</v>
      </c>
      <c r="H59" s="77">
        <v>4</v>
      </c>
      <c r="I59" s="78"/>
      <c r="J59" s="77">
        <v>0</v>
      </c>
      <c r="K59" s="62" t="str">
        <f t="shared" si="0"/>
        <v/>
      </c>
      <c r="L59" s="63" t="str">
        <f t="shared" si="1"/>
        <v/>
      </c>
      <c r="M59" s="64"/>
      <c r="N59" s="65">
        <f t="shared" si="2"/>
        <v>0</v>
      </c>
      <c r="O59" s="64"/>
      <c r="P59" s="65">
        <f t="shared" si="3"/>
        <v>0</v>
      </c>
      <c r="Q59" s="66"/>
      <c r="R59" s="65">
        <f t="shared" si="4"/>
        <v>0</v>
      </c>
      <c r="S59" s="67"/>
      <c r="T59" s="65">
        <f t="shared" si="5"/>
        <v>0</v>
      </c>
      <c r="U59" s="67"/>
      <c r="V59" s="65">
        <f t="shared" si="6"/>
        <v>0</v>
      </c>
      <c r="W59" s="67"/>
      <c r="X59" s="65">
        <f t="shared" si="7"/>
        <v>0</v>
      </c>
      <c r="Y59" s="67"/>
      <c r="Z59" s="65">
        <f t="shared" si="8"/>
        <v>0</v>
      </c>
      <c r="AA59" s="67"/>
      <c r="AB59" s="65">
        <f t="shared" si="9"/>
        <v>0</v>
      </c>
      <c r="AC59" s="67"/>
      <c r="AD59" s="65">
        <f t="shared" si="10"/>
        <v>0</v>
      </c>
      <c r="AE59" s="67"/>
      <c r="AF59" s="65">
        <f t="shared" si="11"/>
        <v>0</v>
      </c>
      <c r="AG59" s="67"/>
      <c r="AH59" s="65">
        <f t="shared" si="12"/>
        <v>0</v>
      </c>
      <c r="AI59" s="67"/>
      <c r="AJ59" s="65">
        <f t="shared" si="13"/>
        <v>0</v>
      </c>
      <c r="AK59" s="67"/>
      <c r="AL59" s="65">
        <f t="shared" si="14"/>
        <v>0</v>
      </c>
      <c r="AM59" s="67"/>
      <c r="AN59" s="65">
        <f t="shared" si="15"/>
        <v>0</v>
      </c>
      <c r="AO59" s="67"/>
      <c r="AP59" s="65">
        <f t="shared" si="16"/>
        <v>0</v>
      </c>
      <c r="AQ59" s="67"/>
      <c r="AR59" s="65">
        <f t="shared" si="17"/>
        <v>0</v>
      </c>
      <c r="AS59" s="67"/>
      <c r="AT59" s="65">
        <f t="shared" si="18"/>
        <v>0</v>
      </c>
      <c r="AU59" s="67"/>
      <c r="AV59" s="65">
        <f t="shared" si="19"/>
        <v>0</v>
      </c>
      <c r="AW59" s="67"/>
      <c r="AX59" s="65">
        <f t="shared" si="20"/>
        <v>0</v>
      </c>
      <c r="AY59" s="67"/>
      <c r="AZ59" s="65">
        <f t="shared" si="21"/>
        <v>0</v>
      </c>
      <c r="BA59" s="67"/>
      <c r="BB59" s="65">
        <f t="shared" si="22"/>
        <v>0</v>
      </c>
      <c r="BC59" s="67"/>
      <c r="BD59" s="65">
        <f t="shared" si="23"/>
        <v>0</v>
      </c>
      <c r="BE59" s="67"/>
      <c r="BF59" s="65">
        <f t="shared" si="24"/>
        <v>0</v>
      </c>
      <c r="BG59" s="68">
        <f t="shared" si="25"/>
        <v>0</v>
      </c>
      <c r="BH59" s="69">
        <f t="shared" si="26"/>
        <v>0</v>
      </c>
      <c r="BI59" s="70">
        <f t="shared" si="29"/>
        <v>0</v>
      </c>
      <c r="BJ59" s="71">
        <f t="shared" si="27"/>
        <v>4</v>
      </c>
      <c r="BK59" s="72">
        <f t="shared" si="28"/>
        <v>0</v>
      </c>
      <c r="BL59" s="179">
        <f t="shared" si="30"/>
        <v>0</v>
      </c>
    </row>
    <row r="60" spans="2:64" s="121" customFormat="1" ht="16.5" customHeight="1" x14ac:dyDescent="0.2">
      <c r="B60" s="120"/>
      <c r="C60" s="73" t="s">
        <v>239</v>
      </c>
      <c r="D60" s="73" t="s">
        <v>209</v>
      </c>
      <c r="E60" s="74" t="s">
        <v>715</v>
      </c>
      <c r="F60" s="75" t="s">
        <v>716</v>
      </c>
      <c r="G60" s="76" t="s">
        <v>133</v>
      </c>
      <c r="H60" s="77">
        <v>4</v>
      </c>
      <c r="I60" s="78"/>
      <c r="J60" s="77">
        <v>0</v>
      </c>
      <c r="K60" s="62" t="str">
        <f t="shared" si="0"/>
        <v/>
      </c>
      <c r="L60" s="63" t="str">
        <f t="shared" si="1"/>
        <v/>
      </c>
      <c r="M60" s="64"/>
      <c r="N60" s="65">
        <f t="shared" si="2"/>
        <v>0</v>
      </c>
      <c r="O60" s="64"/>
      <c r="P60" s="65">
        <f t="shared" si="3"/>
        <v>0</v>
      </c>
      <c r="Q60" s="66"/>
      <c r="R60" s="65">
        <f t="shared" si="4"/>
        <v>0</v>
      </c>
      <c r="S60" s="67"/>
      <c r="T60" s="65">
        <f t="shared" si="5"/>
        <v>0</v>
      </c>
      <c r="U60" s="67"/>
      <c r="V60" s="65">
        <f t="shared" si="6"/>
        <v>0</v>
      </c>
      <c r="W60" s="67"/>
      <c r="X60" s="65">
        <f t="shared" si="7"/>
        <v>0</v>
      </c>
      <c r="Y60" s="67"/>
      <c r="Z60" s="65">
        <f t="shared" si="8"/>
        <v>0</v>
      </c>
      <c r="AA60" s="67"/>
      <c r="AB60" s="65">
        <f t="shared" si="9"/>
        <v>0</v>
      </c>
      <c r="AC60" s="67"/>
      <c r="AD60" s="65">
        <f t="shared" si="10"/>
        <v>0</v>
      </c>
      <c r="AE60" s="67"/>
      <c r="AF60" s="65">
        <f t="shared" si="11"/>
        <v>0</v>
      </c>
      <c r="AG60" s="67"/>
      <c r="AH60" s="65">
        <f t="shared" si="12"/>
        <v>0</v>
      </c>
      <c r="AI60" s="67"/>
      <c r="AJ60" s="65">
        <f t="shared" si="13"/>
        <v>0</v>
      </c>
      <c r="AK60" s="67"/>
      <c r="AL60" s="65">
        <f t="shared" si="14"/>
        <v>0</v>
      </c>
      <c r="AM60" s="67"/>
      <c r="AN60" s="65">
        <f t="shared" si="15"/>
        <v>0</v>
      </c>
      <c r="AO60" s="67"/>
      <c r="AP60" s="65">
        <f t="shared" si="16"/>
        <v>0</v>
      </c>
      <c r="AQ60" s="67"/>
      <c r="AR60" s="65">
        <f t="shared" si="17"/>
        <v>0</v>
      </c>
      <c r="AS60" s="67"/>
      <c r="AT60" s="65">
        <f t="shared" si="18"/>
        <v>0</v>
      </c>
      <c r="AU60" s="67"/>
      <c r="AV60" s="65">
        <f t="shared" si="19"/>
        <v>0</v>
      </c>
      <c r="AW60" s="67"/>
      <c r="AX60" s="65">
        <f t="shared" si="20"/>
        <v>0</v>
      </c>
      <c r="AY60" s="67"/>
      <c r="AZ60" s="65">
        <f t="shared" si="21"/>
        <v>0</v>
      </c>
      <c r="BA60" s="67"/>
      <c r="BB60" s="65">
        <f t="shared" si="22"/>
        <v>0</v>
      </c>
      <c r="BC60" s="67"/>
      <c r="BD60" s="65">
        <f t="shared" si="23"/>
        <v>0</v>
      </c>
      <c r="BE60" s="67"/>
      <c r="BF60" s="65">
        <f t="shared" si="24"/>
        <v>0</v>
      </c>
      <c r="BG60" s="68">
        <f t="shared" si="25"/>
        <v>0</v>
      </c>
      <c r="BH60" s="69">
        <f t="shared" si="26"/>
        <v>0</v>
      </c>
      <c r="BI60" s="70">
        <f t="shared" si="29"/>
        <v>0</v>
      </c>
      <c r="BJ60" s="71">
        <f t="shared" si="27"/>
        <v>4</v>
      </c>
      <c r="BK60" s="72">
        <f t="shared" si="28"/>
        <v>0</v>
      </c>
      <c r="BL60" s="179">
        <f t="shared" si="30"/>
        <v>0</v>
      </c>
    </row>
    <row r="61" spans="2:64" s="121" customFormat="1" ht="16.5" customHeight="1" x14ac:dyDescent="0.2">
      <c r="B61" s="120"/>
      <c r="C61" s="73" t="s">
        <v>242</v>
      </c>
      <c r="D61" s="73" t="s">
        <v>209</v>
      </c>
      <c r="E61" s="74" t="s">
        <v>715</v>
      </c>
      <c r="F61" s="75" t="s">
        <v>716</v>
      </c>
      <c r="G61" s="76" t="s">
        <v>133</v>
      </c>
      <c r="H61" s="77">
        <v>4</v>
      </c>
      <c r="I61" s="78"/>
      <c r="J61" s="77">
        <v>0</v>
      </c>
      <c r="K61" s="62" t="str">
        <f t="shared" si="0"/>
        <v/>
      </c>
      <c r="L61" s="63" t="str">
        <f t="shared" si="1"/>
        <v/>
      </c>
      <c r="M61" s="64"/>
      <c r="N61" s="65">
        <f t="shared" si="2"/>
        <v>0</v>
      </c>
      <c r="O61" s="64"/>
      <c r="P61" s="65">
        <f t="shared" si="3"/>
        <v>0</v>
      </c>
      <c r="Q61" s="66"/>
      <c r="R61" s="65">
        <f t="shared" si="4"/>
        <v>0</v>
      </c>
      <c r="S61" s="67"/>
      <c r="T61" s="65">
        <f t="shared" si="5"/>
        <v>0</v>
      </c>
      <c r="U61" s="67"/>
      <c r="V61" s="65">
        <f t="shared" si="6"/>
        <v>0</v>
      </c>
      <c r="W61" s="67"/>
      <c r="X61" s="65">
        <f t="shared" si="7"/>
        <v>0</v>
      </c>
      <c r="Y61" s="67"/>
      <c r="Z61" s="65">
        <f t="shared" si="8"/>
        <v>0</v>
      </c>
      <c r="AA61" s="67"/>
      <c r="AB61" s="65">
        <f t="shared" si="9"/>
        <v>0</v>
      </c>
      <c r="AC61" s="67"/>
      <c r="AD61" s="65">
        <f t="shared" si="10"/>
        <v>0</v>
      </c>
      <c r="AE61" s="67"/>
      <c r="AF61" s="65">
        <f t="shared" si="11"/>
        <v>0</v>
      </c>
      <c r="AG61" s="67"/>
      <c r="AH61" s="65">
        <f t="shared" si="12"/>
        <v>0</v>
      </c>
      <c r="AI61" s="67"/>
      <c r="AJ61" s="65">
        <f t="shared" si="13"/>
        <v>0</v>
      </c>
      <c r="AK61" s="67"/>
      <c r="AL61" s="65">
        <f t="shared" si="14"/>
        <v>0</v>
      </c>
      <c r="AM61" s="67"/>
      <c r="AN61" s="65">
        <f t="shared" si="15"/>
        <v>0</v>
      </c>
      <c r="AO61" s="67"/>
      <c r="AP61" s="65">
        <f t="shared" si="16"/>
        <v>0</v>
      </c>
      <c r="AQ61" s="67"/>
      <c r="AR61" s="65">
        <f t="shared" si="17"/>
        <v>0</v>
      </c>
      <c r="AS61" s="67"/>
      <c r="AT61" s="65">
        <f t="shared" si="18"/>
        <v>0</v>
      </c>
      <c r="AU61" s="67"/>
      <c r="AV61" s="65">
        <f t="shared" si="19"/>
        <v>0</v>
      </c>
      <c r="AW61" s="67"/>
      <c r="AX61" s="65">
        <f t="shared" si="20"/>
        <v>0</v>
      </c>
      <c r="AY61" s="67"/>
      <c r="AZ61" s="65">
        <f t="shared" si="21"/>
        <v>0</v>
      </c>
      <c r="BA61" s="67"/>
      <c r="BB61" s="65">
        <f t="shared" si="22"/>
        <v>0</v>
      </c>
      <c r="BC61" s="67"/>
      <c r="BD61" s="65">
        <f t="shared" si="23"/>
        <v>0</v>
      </c>
      <c r="BE61" s="67"/>
      <c r="BF61" s="65">
        <f t="shared" si="24"/>
        <v>0</v>
      </c>
      <c r="BG61" s="68">
        <f t="shared" si="25"/>
        <v>0</v>
      </c>
      <c r="BH61" s="69">
        <f t="shared" si="26"/>
        <v>0</v>
      </c>
      <c r="BI61" s="70">
        <f t="shared" si="29"/>
        <v>0</v>
      </c>
      <c r="BJ61" s="71">
        <f t="shared" si="27"/>
        <v>4</v>
      </c>
      <c r="BK61" s="72">
        <f t="shared" si="28"/>
        <v>0</v>
      </c>
      <c r="BL61" s="179">
        <f t="shared" si="30"/>
        <v>0</v>
      </c>
    </row>
    <row r="62" spans="2:64" s="121" customFormat="1" ht="16.5" customHeight="1" x14ac:dyDescent="0.2">
      <c r="B62" s="120"/>
      <c r="C62" s="73" t="s">
        <v>245</v>
      </c>
      <c r="D62" s="73" t="s">
        <v>209</v>
      </c>
      <c r="E62" s="74" t="s">
        <v>717</v>
      </c>
      <c r="F62" s="75" t="s">
        <v>718</v>
      </c>
      <c r="G62" s="76" t="s">
        <v>133</v>
      </c>
      <c r="H62" s="77">
        <v>20</v>
      </c>
      <c r="I62" s="78"/>
      <c r="J62" s="77">
        <v>0</v>
      </c>
      <c r="K62" s="62" t="str">
        <f t="shared" si="0"/>
        <v/>
      </c>
      <c r="L62" s="63" t="str">
        <f t="shared" si="1"/>
        <v/>
      </c>
      <c r="M62" s="64"/>
      <c r="N62" s="65">
        <f t="shared" si="2"/>
        <v>0</v>
      </c>
      <c r="O62" s="64"/>
      <c r="P62" s="65">
        <f t="shared" si="3"/>
        <v>0</v>
      </c>
      <c r="Q62" s="66"/>
      <c r="R62" s="65">
        <f t="shared" si="4"/>
        <v>0</v>
      </c>
      <c r="S62" s="67"/>
      <c r="T62" s="65">
        <f t="shared" si="5"/>
        <v>0</v>
      </c>
      <c r="U62" s="67"/>
      <c r="V62" s="65">
        <f t="shared" si="6"/>
        <v>0</v>
      </c>
      <c r="W62" s="67"/>
      <c r="X62" s="65">
        <f t="shared" si="7"/>
        <v>0</v>
      </c>
      <c r="Y62" s="67"/>
      <c r="Z62" s="65">
        <f t="shared" si="8"/>
        <v>0</v>
      </c>
      <c r="AA62" s="67"/>
      <c r="AB62" s="65">
        <f t="shared" si="9"/>
        <v>0</v>
      </c>
      <c r="AC62" s="67"/>
      <c r="AD62" s="65">
        <f t="shared" si="10"/>
        <v>0</v>
      </c>
      <c r="AE62" s="67"/>
      <c r="AF62" s="65">
        <f t="shared" si="11"/>
        <v>0</v>
      </c>
      <c r="AG62" s="67"/>
      <c r="AH62" s="65">
        <f t="shared" si="12"/>
        <v>0</v>
      </c>
      <c r="AI62" s="67"/>
      <c r="AJ62" s="65">
        <f t="shared" si="13"/>
        <v>0</v>
      </c>
      <c r="AK62" s="67"/>
      <c r="AL62" s="65">
        <f t="shared" si="14"/>
        <v>0</v>
      </c>
      <c r="AM62" s="67"/>
      <c r="AN62" s="65">
        <f t="shared" si="15"/>
        <v>0</v>
      </c>
      <c r="AO62" s="67"/>
      <c r="AP62" s="65">
        <f t="shared" si="16"/>
        <v>0</v>
      </c>
      <c r="AQ62" s="67"/>
      <c r="AR62" s="65">
        <f t="shared" si="17"/>
        <v>0</v>
      </c>
      <c r="AS62" s="67"/>
      <c r="AT62" s="65">
        <f t="shared" si="18"/>
        <v>0</v>
      </c>
      <c r="AU62" s="67"/>
      <c r="AV62" s="65">
        <f t="shared" si="19"/>
        <v>0</v>
      </c>
      <c r="AW62" s="67"/>
      <c r="AX62" s="65">
        <f t="shared" si="20"/>
        <v>0</v>
      </c>
      <c r="AY62" s="67"/>
      <c r="AZ62" s="65">
        <f t="shared" si="21"/>
        <v>0</v>
      </c>
      <c r="BA62" s="67"/>
      <c r="BB62" s="65">
        <f t="shared" si="22"/>
        <v>0</v>
      </c>
      <c r="BC62" s="67"/>
      <c r="BD62" s="65">
        <f t="shared" si="23"/>
        <v>0</v>
      </c>
      <c r="BE62" s="67"/>
      <c r="BF62" s="65">
        <f t="shared" si="24"/>
        <v>0</v>
      </c>
      <c r="BG62" s="68">
        <f t="shared" si="25"/>
        <v>0</v>
      </c>
      <c r="BH62" s="69">
        <f t="shared" si="26"/>
        <v>0</v>
      </c>
      <c r="BI62" s="70">
        <f t="shared" si="29"/>
        <v>0</v>
      </c>
      <c r="BJ62" s="71">
        <f t="shared" si="27"/>
        <v>20</v>
      </c>
      <c r="BK62" s="72">
        <f t="shared" si="28"/>
        <v>0</v>
      </c>
      <c r="BL62" s="179">
        <f t="shared" si="30"/>
        <v>0</v>
      </c>
    </row>
    <row r="63" spans="2:64" s="121" customFormat="1" ht="16.5" customHeight="1" x14ac:dyDescent="0.2">
      <c r="B63" s="120"/>
      <c r="C63" s="73" t="s">
        <v>248</v>
      </c>
      <c r="D63" s="73" t="s">
        <v>209</v>
      </c>
      <c r="E63" s="74" t="s">
        <v>719</v>
      </c>
      <c r="F63" s="75" t="s">
        <v>720</v>
      </c>
      <c r="G63" s="76" t="s">
        <v>133</v>
      </c>
      <c r="H63" s="77">
        <v>60</v>
      </c>
      <c r="I63" s="78"/>
      <c r="J63" s="77">
        <v>0</v>
      </c>
      <c r="K63" s="62" t="str">
        <f t="shared" si="0"/>
        <v/>
      </c>
      <c r="L63" s="63" t="str">
        <f t="shared" si="1"/>
        <v/>
      </c>
      <c r="M63" s="64"/>
      <c r="N63" s="65">
        <f t="shared" si="2"/>
        <v>0</v>
      </c>
      <c r="O63" s="64"/>
      <c r="P63" s="65">
        <f t="shared" si="3"/>
        <v>0</v>
      </c>
      <c r="Q63" s="66"/>
      <c r="R63" s="65">
        <f t="shared" si="4"/>
        <v>0</v>
      </c>
      <c r="S63" s="67"/>
      <c r="T63" s="65">
        <f t="shared" si="5"/>
        <v>0</v>
      </c>
      <c r="U63" s="67"/>
      <c r="V63" s="65">
        <f t="shared" si="6"/>
        <v>0</v>
      </c>
      <c r="W63" s="67"/>
      <c r="X63" s="65">
        <f t="shared" si="7"/>
        <v>0</v>
      </c>
      <c r="Y63" s="67"/>
      <c r="Z63" s="65">
        <f t="shared" si="8"/>
        <v>0</v>
      </c>
      <c r="AA63" s="67"/>
      <c r="AB63" s="65">
        <f t="shared" si="9"/>
        <v>0</v>
      </c>
      <c r="AC63" s="67"/>
      <c r="AD63" s="65">
        <f t="shared" si="10"/>
        <v>0</v>
      </c>
      <c r="AE63" s="67"/>
      <c r="AF63" s="65">
        <f t="shared" si="11"/>
        <v>0</v>
      </c>
      <c r="AG63" s="67"/>
      <c r="AH63" s="65">
        <f t="shared" si="12"/>
        <v>0</v>
      </c>
      <c r="AI63" s="67"/>
      <c r="AJ63" s="65">
        <f t="shared" si="13"/>
        <v>0</v>
      </c>
      <c r="AK63" s="67"/>
      <c r="AL63" s="65">
        <f t="shared" si="14"/>
        <v>0</v>
      </c>
      <c r="AM63" s="67"/>
      <c r="AN63" s="65">
        <f t="shared" si="15"/>
        <v>0</v>
      </c>
      <c r="AO63" s="67"/>
      <c r="AP63" s="65">
        <f t="shared" si="16"/>
        <v>0</v>
      </c>
      <c r="AQ63" s="67"/>
      <c r="AR63" s="65">
        <f t="shared" si="17"/>
        <v>0</v>
      </c>
      <c r="AS63" s="67"/>
      <c r="AT63" s="65">
        <f t="shared" si="18"/>
        <v>0</v>
      </c>
      <c r="AU63" s="67"/>
      <c r="AV63" s="65">
        <f t="shared" si="19"/>
        <v>0</v>
      </c>
      <c r="AW63" s="67"/>
      <c r="AX63" s="65">
        <f t="shared" si="20"/>
        <v>0</v>
      </c>
      <c r="AY63" s="67"/>
      <c r="AZ63" s="65">
        <f t="shared" si="21"/>
        <v>0</v>
      </c>
      <c r="BA63" s="67"/>
      <c r="BB63" s="65">
        <f t="shared" si="22"/>
        <v>0</v>
      </c>
      <c r="BC63" s="67"/>
      <c r="BD63" s="65">
        <f t="shared" si="23"/>
        <v>0</v>
      </c>
      <c r="BE63" s="67"/>
      <c r="BF63" s="65">
        <f t="shared" si="24"/>
        <v>0</v>
      </c>
      <c r="BG63" s="68">
        <f t="shared" si="25"/>
        <v>0</v>
      </c>
      <c r="BH63" s="69">
        <f t="shared" si="26"/>
        <v>0</v>
      </c>
      <c r="BI63" s="70">
        <f t="shared" si="29"/>
        <v>0</v>
      </c>
      <c r="BJ63" s="71">
        <f t="shared" si="27"/>
        <v>60</v>
      </c>
      <c r="BK63" s="72">
        <f t="shared" si="28"/>
        <v>0</v>
      </c>
      <c r="BL63" s="179">
        <f t="shared" si="30"/>
        <v>0</v>
      </c>
    </row>
    <row r="64" spans="2:64" s="121" customFormat="1" ht="16.5" customHeight="1" x14ac:dyDescent="0.2">
      <c r="B64" s="120"/>
      <c r="C64" s="73" t="s">
        <v>251</v>
      </c>
      <c r="D64" s="73" t="s">
        <v>209</v>
      </c>
      <c r="E64" s="74" t="s">
        <v>721</v>
      </c>
      <c r="F64" s="75" t="s">
        <v>722</v>
      </c>
      <c r="G64" s="76" t="s">
        <v>133</v>
      </c>
      <c r="H64" s="77">
        <v>10</v>
      </c>
      <c r="I64" s="78"/>
      <c r="J64" s="77">
        <v>0</v>
      </c>
      <c r="K64" s="62" t="str">
        <f t="shared" si="0"/>
        <v/>
      </c>
      <c r="L64" s="63" t="str">
        <f t="shared" si="1"/>
        <v/>
      </c>
      <c r="M64" s="64"/>
      <c r="N64" s="65">
        <f t="shared" si="2"/>
        <v>0</v>
      </c>
      <c r="O64" s="64"/>
      <c r="P64" s="65">
        <f t="shared" si="3"/>
        <v>0</v>
      </c>
      <c r="Q64" s="66"/>
      <c r="R64" s="65">
        <f t="shared" si="4"/>
        <v>0</v>
      </c>
      <c r="S64" s="67"/>
      <c r="T64" s="65">
        <f t="shared" si="5"/>
        <v>0</v>
      </c>
      <c r="U64" s="67"/>
      <c r="V64" s="65">
        <f t="shared" si="6"/>
        <v>0</v>
      </c>
      <c r="W64" s="67"/>
      <c r="X64" s="65">
        <f t="shared" si="7"/>
        <v>0</v>
      </c>
      <c r="Y64" s="67"/>
      <c r="Z64" s="65">
        <f t="shared" si="8"/>
        <v>0</v>
      </c>
      <c r="AA64" s="67"/>
      <c r="AB64" s="65">
        <f t="shared" si="9"/>
        <v>0</v>
      </c>
      <c r="AC64" s="67"/>
      <c r="AD64" s="65">
        <f t="shared" si="10"/>
        <v>0</v>
      </c>
      <c r="AE64" s="67"/>
      <c r="AF64" s="65">
        <f t="shared" si="11"/>
        <v>0</v>
      </c>
      <c r="AG64" s="67"/>
      <c r="AH64" s="65">
        <f t="shared" si="12"/>
        <v>0</v>
      </c>
      <c r="AI64" s="67"/>
      <c r="AJ64" s="65">
        <f t="shared" si="13"/>
        <v>0</v>
      </c>
      <c r="AK64" s="67"/>
      <c r="AL64" s="65">
        <f t="shared" si="14"/>
        <v>0</v>
      </c>
      <c r="AM64" s="67"/>
      <c r="AN64" s="65">
        <f t="shared" si="15"/>
        <v>0</v>
      </c>
      <c r="AO64" s="67"/>
      <c r="AP64" s="65">
        <f t="shared" si="16"/>
        <v>0</v>
      </c>
      <c r="AQ64" s="67"/>
      <c r="AR64" s="65">
        <f t="shared" si="17"/>
        <v>0</v>
      </c>
      <c r="AS64" s="67"/>
      <c r="AT64" s="65">
        <f t="shared" si="18"/>
        <v>0</v>
      </c>
      <c r="AU64" s="67"/>
      <c r="AV64" s="65">
        <f t="shared" si="19"/>
        <v>0</v>
      </c>
      <c r="AW64" s="67"/>
      <c r="AX64" s="65">
        <f t="shared" si="20"/>
        <v>0</v>
      </c>
      <c r="AY64" s="67"/>
      <c r="AZ64" s="65">
        <f t="shared" si="21"/>
        <v>0</v>
      </c>
      <c r="BA64" s="67"/>
      <c r="BB64" s="65">
        <f t="shared" si="22"/>
        <v>0</v>
      </c>
      <c r="BC64" s="67"/>
      <c r="BD64" s="65">
        <f t="shared" si="23"/>
        <v>0</v>
      </c>
      <c r="BE64" s="67"/>
      <c r="BF64" s="65">
        <f t="shared" si="24"/>
        <v>0</v>
      </c>
      <c r="BG64" s="68">
        <f t="shared" si="25"/>
        <v>0</v>
      </c>
      <c r="BH64" s="69">
        <f t="shared" si="26"/>
        <v>0</v>
      </c>
      <c r="BI64" s="70">
        <f t="shared" si="29"/>
        <v>0</v>
      </c>
      <c r="BJ64" s="71">
        <f t="shared" si="27"/>
        <v>10</v>
      </c>
      <c r="BK64" s="72">
        <f t="shared" si="28"/>
        <v>0</v>
      </c>
      <c r="BL64" s="179">
        <f t="shared" si="30"/>
        <v>0</v>
      </c>
    </row>
    <row r="65" spans="2:64" s="121" customFormat="1" ht="16.5" customHeight="1" x14ac:dyDescent="0.2">
      <c r="B65" s="120"/>
      <c r="C65" s="73" t="s">
        <v>254</v>
      </c>
      <c r="D65" s="73" t="s">
        <v>209</v>
      </c>
      <c r="E65" s="74" t="s">
        <v>723</v>
      </c>
      <c r="F65" s="75" t="s">
        <v>724</v>
      </c>
      <c r="G65" s="76" t="s">
        <v>578</v>
      </c>
      <c r="H65" s="77">
        <v>4</v>
      </c>
      <c r="I65" s="78"/>
      <c r="J65" s="77">
        <v>0</v>
      </c>
      <c r="K65" s="62" t="str">
        <f t="shared" si="0"/>
        <v/>
      </c>
      <c r="L65" s="63" t="str">
        <f t="shared" si="1"/>
        <v/>
      </c>
      <c r="M65" s="64"/>
      <c r="N65" s="65">
        <f t="shared" si="2"/>
        <v>0</v>
      </c>
      <c r="O65" s="64"/>
      <c r="P65" s="65">
        <f t="shared" si="3"/>
        <v>0</v>
      </c>
      <c r="Q65" s="66"/>
      <c r="R65" s="65">
        <f t="shared" si="4"/>
        <v>0</v>
      </c>
      <c r="S65" s="67"/>
      <c r="T65" s="65">
        <f t="shared" si="5"/>
        <v>0</v>
      </c>
      <c r="U65" s="67"/>
      <c r="V65" s="65">
        <f t="shared" si="6"/>
        <v>0</v>
      </c>
      <c r="W65" s="67"/>
      <c r="X65" s="65">
        <f t="shared" si="7"/>
        <v>0</v>
      </c>
      <c r="Y65" s="67"/>
      <c r="Z65" s="65">
        <f t="shared" si="8"/>
        <v>0</v>
      </c>
      <c r="AA65" s="67"/>
      <c r="AB65" s="65">
        <f t="shared" si="9"/>
        <v>0</v>
      </c>
      <c r="AC65" s="67"/>
      <c r="AD65" s="65">
        <f t="shared" si="10"/>
        <v>0</v>
      </c>
      <c r="AE65" s="67"/>
      <c r="AF65" s="65">
        <f t="shared" si="11"/>
        <v>0</v>
      </c>
      <c r="AG65" s="67"/>
      <c r="AH65" s="65">
        <f t="shared" si="12"/>
        <v>0</v>
      </c>
      <c r="AI65" s="67"/>
      <c r="AJ65" s="65">
        <f t="shared" si="13"/>
        <v>0</v>
      </c>
      <c r="AK65" s="67"/>
      <c r="AL65" s="65">
        <f t="shared" si="14"/>
        <v>0</v>
      </c>
      <c r="AM65" s="67"/>
      <c r="AN65" s="65">
        <f t="shared" si="15"/>
        <v>0</v>
      </c>
      <c r="AO65" s="67"/>
      <c r="AP65" s="65">
        <f t="shared" si="16"/>
        <v>0</v>
      </c>
      <c r="AQ65" s="67"/>
      <c r="AR65" s="65">
        <f t="shared" si="17"/>
        <v>0</v>
      </c>
      <c r="AS65" s="67"/>
      <c r="AT65" s="65">
        <f t="shared" si="18"/>
        <v>0</v>
      </c>
      <c r="AU65" s="67"/>
      <c r="AV65" s="65">
        <f t="shared" si="19"/>
        <v>0</v>
      </c>
      <c r="AW65" s="67"/>
      <c r="AX65" s="65">
        <f t="shared" si="20"/>
        <v>0</v>
      </c>
      <c r="AY65" s="67"/>
      <c r="AZ65" s="65">
        <f t="shared" si="21"/>
        <v>0</v>
      </c>
      <c r="BA65" s="67"/>
      <c r="BB65" s="65">
        <f t="shared" si="22"/>
        <v>0</v>
      </c>
      <c r="BC65" s="67"/>
      <c r="BD65" s="65">
        <f t="shared" si="23"/>
        <v>0</v>
      </c>
      <c r="BE65" s="67"/>
      <c r="BF65" s="65">
        <f t="shared" si="24"/>
        <v>0</v>
      </c>
      <c r="BG65" s="68">
        <f t="shared" si="25"/>
        <v>0</v>
      </c>
      <c r="BH65" s="69">
        <f t="shared" si="26"/>
        <v>0</v>
      </c>
      <c r="BI65" s="70">
        <f t="shared" si="29"/>
        <v>0</v>
      </c>
      <c r="BJ65" s="71">
        <f t="shared" si="27"/>
        <v>4</v>
      </c>
      <c r="BK65" s="72">
        <f t="shared" si="28"/>
        <v>0</v>
      </c>
      <c r="BL65" s="179">
        <f t="shared" si="30"/>
        <v>0</v>
      </c>
    </row>
    <row r="66" spans="2:64" s="121" customFormat="1" ht="16.5" customHeight="1" x14ac:dyDescent="0.2">
      <c r="B66" s="120"/>
      <c r="C66" s="73" t="s">
        <v>258</v>
      </c>
      <c r="D66" s="73" t="s">
        <v>209</v>
      </c>
      <c r="E66" s="74" t="s">
        <v>725</v>
      </c>
      <c r="F66" s="75" t="s">
        <v>726</v>
      </c>
      <c r="G66" s="76" t="s">
        <v>578</v>
      </c>
      <c r="H66" s="77">
        <v>7</v>
      </c>
      <c r="I66" s="78"/>
      <c r="J66" s="77">
        <v>0</v>
      </c>
      <c r="K66" s="62" t="str">
        <f t="shared" si="0"/>
        <v/>
      </c>
      <c r="L66" s="63" t="str">
        <f t="shared" si="1"/>
        <v/>
      </c>
      <c r="M66" s="64"/>
      <c r="N66" s="65">
        <f t="shared" si="2"/>
        <v>0</v>
      </c>
      <c r="O66" s="64"/>
      <c r="P66" s="65">
        <f t="shared" si="3"/>
        <v>0</v>
      </c>
      <c r="Q66" s="66"/>
      <c r="R66" s="65">
        <f t="shared" si="4"/>
        <v>0</v>
      </c>
      <c r="S66" s="67"/>
      <c r="T66" s="65">
        <f t="shared" si="5"/>
        <v>0</v>
      </c>
      <c r="U66" s="67"/>
      <c r="V66" s="65">
        <f t="shared" si="6"/>
        <v>0</v>
      </c>
      <c r="W66" s="67"/>
      <c r="X66" s="65">
        <f t="shared" si="7"/>
        <v>0</v>
      </c>
      <c r="Y66" s="67"/>
      <c r="Z66" s="65">
        <f t="shared" si="8"/>
        <v>0</v>
      </c>
      <c r="AA66" s="67"/>
      <c r="AB66" s="65">
        <f t="shared" si="9"/>
        <v>0</v>
      </c>
      <c r="AC66" s="67"/>
      <c r="AD66" s="65">
        <f t="shared" si="10"/>
        <v>0</v>
      </c>
      <c r="AE66" s="67"/>
      <c r="AF66" s="65">
        <f t="shared" si="11"/>
        <v>0</v>
      </c>
      <c r="AG66" s="67"/>
      <c r="AH66" s="65">
        <f t="shared" si="12"/>
        <v>0</v>
      </c>
      <c r="AI66" s="67"/>
      <c r="AJ66" s="65">
        <f t="shared" si="13"/>
        <v>0</v>
      </c>
      <c r="AK66" s="67"/>
      <c r="AL66" s="65">
        <f t="shared" si="14"/>
        <v>0</v>
      </c>
      <c r="AM66" s="67"/>
      <c r="AN66" s="65">
        <f t="shared" si="15"/>
        <v>0</v>
      </c>
      <c r="AO66" s="67"/>
      <c r="AP66" s="65">
        <f t="shared" si="16"/>
        <v>0</v>
      </c>
      <c r="AQ66" s="67"/>
      <c r="AR66" s="65">
        <f t="shared" si="17"/>
        <v>0</v>
      </c>
      <c r="AS66" s="67"/>
      <c r="AT66" s="65">
        <f t="shared" si="18"/>
        <v>0</v>
      </c>
      <c r="AU66" s="67"/>
      <c r="AV66" s="65">
        <f t="shared" si="19"/>
        <v>0</v>
      </c>
      <c r="AW66" s="67"/>
      <c r="AX66" s="65">
        <f t="shared" si="20"/>
        <v>0</v>
      </c>
      <c r="AY66" s="67"/>
      <c r="AZ66" s="65">
        <f t="shared" si="21"/>
        <v>0</v>
      </c>
      <c r="BA66" s="67"/>
      <c r="BB66" s="65">
        <f t="shared" si="22"/>
        <v>0</v>
      </c>
      <c r="BC66" s="67"/>
      <c r="BD66" s="65">
        <f t="shared" si="23"/>
        <v>0</v>
      </c>
      <c r="BE66" s="67"/>
      <c r="BF66" s="65">
        <f t="shared" si="24"/>
        <v>0</v>
      </c>
      <c r="BG66" s="68">
        <f t="shared" si="25"/>
        <v>0</v>
      </c>
      <c r="BH66" s="69">
        <f t="shared" si="26"/>
        <v>0</v>
      </c>
      <c r="BI66" s="70">
        <f t="shared" si="29"/>
        <v>0</v>
      </c>
      <c r="BJ66" s="71">
        <f t="shared" si="27"/>
        <v>7</v>
      </c>
      <c r="BK66" s="72">
        <f t="shared" si="28"/>
        <v>0</v>
      </c>
      <c r="BL66" s="179">
        <f t="shared" si="30"/>
        <v>0</v>
      </c>
    </row>
    <row r="67" spans="2:64" s="121" customFormat="1" ht="16.5" customHeight="1" x14ac:dyDescent="0.2">
      <c r="B67" s="120"/>
      <c r="C67" s="56" t="s">
        <v>261</v>
      </c>
      <c r="D67" s="56" t="s">
        <v>96</v>
      </c>
      <c r="E67" s="57" t="s">
        <v>727</v>
      </c>
      <c r="F67" s="58" t="s">
        <v>728</v>
      </c>
      <c r="G67" s="59" t="s">
        <v>137</v>
      </c>
      <c r="H67" s="60">
        <v>45</v>
      </c>
      <c r="I67" s="61"/>
      <c r="J67" s="60">
        <v>0</v>
      </c>
      <c r="K67" s="62" t="str">
        <f t="shared" si="0"/>
        <v/>
      </c>
      <c r="L67" s="63" t="str">
        <f t="shared" si="1"/>
        <v/>
      </c>
      <c r="M67" s="64"/>
      <c r="N67" s="65">
        <f t="shared" si="2"/>
        <v>0</v>
      </c>
      <c r="O67" s="64"/>
      <c r="P67" s="65">
        <f t="shared" si="3"/>
        <v>0</v>
      </c>
      <c r="Q67" s="66"/>
      <c r="R67" s="65">
        <f t="shared" si="4"/>
        <v>0</v>
      </c>
      <c r="S67" s="67"/>
      <c r="T67" s="65">
        <f t="shared" si="5"/>
        <v>0</v>
      </c>
      <c r="U67" s="67"/>
      <c r="V67" s="65">
        <f t="shared" si="6"/>
        <v>0</v>
      </c>
      <c r="W67" s="67"/>
      <c r="X67" s="65">
        <f t="shared" si="7"/>
        <v>0</v>
      </c>
      <c r="Y67" s="67"/>
      <c r="Z67" s="65">
        <f t="shared" si="8"/>
        <v>0</v>
      </c>
      <c r="AA67" s="67"/>
      <c r="AB67" s="65">
        <f t="shared" si="9"/>
        <v>0</v>
      </c>
      <c r="AC67" s="67"/>
      <c r="AD67" s="65">
        <f t="shared" si="10"/>
        <v>0</v>
      </c>
      <c r="AE67" s="67"/>
      <c r="AF67" s="65">
        <f t="shared" si="11"/>
        <v>0</v>
      </c>
      <c r="AG67" s="67"/>
      <c r="AH67" s="65">
        <f t="shared" si="12"/>
        <v>0</v>
      </c>
      <c r="AI67" s="67"/>
      <c r="AJ67" s="65">
        <f t="shared" si="13"/>
        <v>0</v>
      </c>
      <c r="AK67" s="67"/>
      <c r="AL67" s="65">
        <f t="shared" si="14"/>
        <v>0</v>
      </c>
      <c r="AM67" s="67"/>
      <c r="AN67" s="65">
        <f t="shared" si="15"/>
        <v>0</v>
      </c>
      <c r="AO67" s="67"/>
      <c r="AP67" s="65">
        <f t="shared" si="16"/>
        <v>0</v>
      </c>
      <c r="AQ67" s="67"/>
      <c r="AR67" s="65">
        <f t="shared" si="17"/>
        <v>0</v>
      </c>
      <c r="AS67" s="67"/>
      <c r="AT67" s="65">
        <f t="shared" si="18"/>
        <v>0</v>
      </c>
      <c r="AU67" s="67"/>
      <c r="AV67" s="65">
        <f t="shared" si="19"/>
        <v>0</v>
      </c>
      <c r="AW67" s="67"/>
      <c r="AX67" s="65">
        <f t="shared" si="20"/>
        <v>0</v>
      </c>
      <c r="AY67" s="67"/>
      <c r="AZ67" s="65">
        <f t="shared" si="21"/>
        <v>0</v>
      </c>
      <c r="BA67" s="67"/>
      <c r="BB67" s="65">
        <f t="shared" si="22"/>
        <v>0</v>
      </c>
      <c r="BC67" s="67"/>
      <c r="BD67" s="65">
        <f t="shared" si="23"/>
        <v>0</v>
      </c>
      <c r="BE67" s="67"/>
      <c r="BF67" s="65">
        <f t="shared" si="24"/>
        <v>0</v>
      </c>
      <c r="BG67" s="68">
        <f t="shared" si="25"/>
        <v>0</v>
      </c>
      <c r="BH67" s="69">
        <f t="shared" si="26"/>
        <v>0</v>
      </c>
      <c r="BI67" s="70">
        <f t="shared" si="29"/>
        <v>0</v>
      </c>
      <c r="BJ67" s="71">
        <f t="shared" si="27"/>
        <v>45</v>
      </c>
      <c r="BK67" s="72">
        <f t="shared" si="28"/>
        <v>0</v>
      </c>
      <c r="BL67" s="179">
        <f t="shared" si="30"/>
        <v>0</v>
      </c>
    </row>
    <row r="68" spans="2:64" s="121" customFormat="1" ht="16.5" customHeight="1" x14ac:dyDescent="0.2">
      <c r="B68" s="120"/>
      <c r="C68" s="56" t="s">
        <v>264</v>
      </c>
      <c r="D68" s="56" t="s">
        <v>96</v>
      </c>
      <c r="E68" s="57" t="s">
        <v>729</v>
      </c>
      <c r="F68" s="58" t="s">
        <v>730</v>
      </c>
      <c r="G68" s="59" t="s">
        <v>731</v>
      </c>
      <c r="H68" s="60">
        <v>20</v>
      </c>
      <c r="I68" s="61"/>
      <c r="J68" s="60">
        <v>0</v>
      </c>
      <c r="K68" s="62" t="str">
        <f t="shared" si="0"/>
        <v/>
      </c>
      <c r="L68" s="63" t="str">
        <f t="shared" si="1"/>
        <v/>
      </c>
      <c r="M68" s="64"/>
      <c r="N68" s="65">
        <f t="shared" si="2"/>
        <v>0</v>
      </c>
      <c r="O68" s="64"/>
      <c r="P68" s="65">
        <f t="shared" si="3"/>
        <v>0</v>
      </c>
      <c r="Q68" s="66"/>
      <c r="R68" s="65">
        <f t="shared" si="4"/>
        <v>0</v>
      </c>
      <c r="S68" s="67"/>
      <c r="T68" s="65">
        <f t="shared" si="5"/>
        <v>0</v>
      </c>
      <c r="U68" s="67"/>
      <c r="V68" s="65">
        <f t="shared" si="6"/>
        <v>0</v>
      </c>
      <c r="W68" s="67"/>
      <c r="X68" s="65">
        <f t="shared" si="7"/>
        <v>0</v>
      </c>
      <c r="Y68" s="67"/>
      <c r="Z68" s="65">
        <f t="shared" si="8"/>
        <v>0</v>
      </c>
      <c r="AA68" s="67"/>
      <c r="AB68" s="65">
        <f t="shared" si="9"/>
        <v>0</v>
      </c>
      <c r="AC68" s="67"/>
      <c r="AD68" s="65">
        <f t="shared" si="10"/>
        <v>0</v>
      </c>
      <c r="AE68" s="67"/>
      <c r="AF68" s="65">
        <f t="shared" si="11"/>
        <v>0</v>
      </c>
      <c r="AG68" s="67"/>
      <c r="AH68" s="65">
        <f t="shared" si="12"/>
        <v>0</v>
      </c>
      <c r="AI68" s="67"/>
      <c r="AJ68" s="65">
        <f t="shared" si="13"/>
        <v>0</v>
      </c>
      <c r="AK68" s="67"/>
      <c r="AL68" s="65">
        <f t="shared" si="14"/>
        <v>0</v>
      </c>
      <c r="AM68" s="67"/>
      <c r="AN68" s="65">
        <f t="shared" si="15"/>
        <v>0</v>
      </c>
      <c r="AO68" s="67"/>
      <c r="AP68" s="65">
        <f t="shared" si="16"/>
        <v>0</v>
      </c>
      <c r="AQ68" s="67"/>
      <c r="AR68" s="65">
        <f t="shared" si="17"/>
        <v>0</v>
      </c>
      <c r="AS68" s="67"/>
      <c r="AT68" s="65">
        <f t="shared" si="18"/>
        <v>0</v>
      </c>
      <c r="AU68" s="67"/>
      <c r="AV68" s="65">
        <f t="shared" si="19"/>
        <v>0</v>
      </c>
      <c r="AW68" s="67"/>
      <c r="AX68" s="65">
        <f t="shared" si="20"/>
        <v>0</v>
      </c>
      <c r="AY68" s="67"/>
      <c r="AZ68" s="65">
        <f t="shared" si="21"/>
        <v>0</v>
      </c>
      <c r="BA68" s="67"/>
      <c r="BB68" s="65">
        <f t="shared" si="22"/>
        <v>0</v>
      </c>
      <c r="BC68" s="67"/>
      <c r="BD68" s="65">
        <f t="shared" si="23"/>
        <v>0</v>
      </c>
      <c r="BE68" s="67"/>
      <c r="BF68" s="65">
        <f t="shared" si="24"/>
        <v>0</v>
      </c>
      <c r="BG68" s="68">
        <f t="shared" si="25"/>
        <v>0</v>
      </c>
      <c r="BH68" s="69">
        <f t="shared" si="26"/>
        <v>0</v>
      </c>
      <c r="BI68" s="70">
        <f t="shared" si="29"/>
        <v>0</v>
      </c>
      <c r="BJ68" s="71">
        <f t="shared" si="27"/>
        <v>20</v>
      </c>
      <c r="BK68" s="72">
        <f t="shared" si="28"/>
        <v>0</v>
      </c>
      <c r="BL68" s="179">
        <f t="shared" si="30"/>
        <v>0</v>
      </c>
    </row>
    <row r="69" spans="2:64" s="121" customFormat="1" ht="16.5" customHeight="1" x14ac:dyDescent="0.2">
      <c r="B69" s="120"/>
      <c r="C69" s="56" t="s">
        <v>267</v>
      </c>
      <c r="D69" s="56" t="s">
        <v>96</v>
      </c>
      <c r="E69" s="57" t="s">
        <v>732</v>
      </c>
      <c r="F69" s="58" t="s">
        <v>733</v>
      </c>
      <c r="G69" s="59" t="s">
        <v>578</v>
      </c>
      <c r="H69" s="60">
        <v>1</v>
      </c>
      <c r="I69" s="61"/>
      <c r="J69" s="60">
        <v>0</v>
      </c>
      <c r="K69" s="62" t="str">
        <f t="shared" si="0"/>
        <v/>
      </c>
      <c r="L69" s="63" t="str">
        <f t="shared" si="1"/>
        <v/>
      </c>
      <c r="M69" s="64"/>
      <c r="N69" s="65">
        <f t="shared" si="2"/>
        <v>0</v>
      </c>
      <c r="O69" s="64"/>
      <c r="P69" s="65">
        <f t="shared" si="3"/>
        <v>0</v>
      </c>
      <c r="Q69" s="66"/>
      <c r="R69" s="65">
        <f t="shared" si="4"/>
        <v>0</v>
      </c>
      <c r="S69" s="67"/>
      <c r="T69" s="65">
        <f t="shared" si="5"/>
        <v>0</v>
      </c>
      <c r="U69" s="67"/>
      <c r="V69" s="65">
        <f t="shared" si="6"/>
        <v>0</v>
      </c>
      <c r="W69" s="67"/>
      <c r="X69" s="65">
        <f t="shared" si="7"/>
        <v>0</v>
      </c>
      <c r="Y69" s="67"/>
      <c r="Z69" s="65">
        <f t="shared" si="8"/>
        <v>0</v>
      </c>
      <c r="AA69" s="67"/>
      <c r="AB69" s="65">
        <f t="shared" si="9"/>
        <v>0</v>
      </c>
      <c r="AC69" s="67"/>
      <c r="AD69" s="65">
        <f t="shared" si="10"/>
        <v>0</v>
      </c>
      <c r="AE69" s="67"/>
      <c r="AF69" s="65">
        <f t="shared" si="11"/>
        <v>0</v>
      </c>
      <c r="AG69" s="67"/>
      <c r="AH69" s="65">
        <f t="shared" si="12"/>
        <v>0</v>
      </c>
      <c r="AI69" s="67"/>
      <c r="AJ69" s="65">
        <f t="shared" si="13"/>
        <v>0</v>
      </c>
      <c r="AK69" s="67"/>
      <c r="AL69" s="65">
        <f t="shared" si="14"/>
        <v>0</v>
      </c>
      <c r="AM69" s="67"/>
      <c r="AN69" s="65">
        <f t="shared" si="15"/>
        <v>0</v>
      </c>
      <c r="AO69" s="67"/>
      <c r="AP69" s="65">
        <f t="shared" si="16"/>
        <v>0</v>
      </c>
      <c r="AQ69" s="67"/>
      <c r="AR69" s="65">
        <f t="shared" si="17"/>
        <v>0</v>
      </c>
      <c r="AS69" s="67"/>
      <c r="AT69" s="65">
        <f t="shared" si="18"/>
        <v>0</v>
      </c>
      <c r="AU69" s="67"/>
      <c r="AV69" s="65">
        <f t="shared" si="19"/>
        <v>0</v>
      </c>
      <c r="AW69" s="67"/>
      <c r="AX69" s="65">
        <f t="shared" si="20"/>
        <v>0</v>
      </c>
      <c r="AY69" s="67"/>
      <c r="AZ69" s="65">
        <f t="shared" si="21"/>
        <v>0</v>
      </c>
      <c r="BA69" s="67"/>
      <c r="BB69" s="65">
        <f t="shared" si="22"/>
        <v>0</v>
      </c>
      <c r="BC69" s="67"/>
      <c r="BD69" s="65">
        <f t="shared" si="23"/>
        <v>0</v>
      </c>
      <c r="BE69" s="67"/>
      <c r="BF69" s="65">
        <f t="shared" si="24"/>
        <v>0</v>
      </c>
      <c r="BG69" s="68">
        <f t="shared" si="25"/>
        <v>0</v>
      </c>
      <c r="BH69" s="69">
        <f t="shared" si="26"/>
        <v>0</v>
      </c>
      <c r="BI69" s="70">
        <f t="shared" si="29"/>
        <v>0</v>
      </c>
      <c r="BJ69" s="71">
        <f t="shared" si="27"/>
        <v>1</v>
      </c>
      <c r="BK69" s="72">
        <f t="shared" si="28"/>
        <v>0</v>
      </c>
      <c r="BL69" s="179">
        <f t="shared" si="30"/>
        <v>0</v>
      </c>
    </row>
    <row r="70" spans="2:64" s="170" customFormat="1" ht="25.9" customHeight="1" x14ac:dyDescent="0.2">
      <c r="B70" s="165"/>
      <c r="C70" s="79"/>
      <c r="D70" s="80" t="s">
        <v>4</v>
      </c>
      <c r="E70" s="84" t="s">
        <v>734</v>
      </c>
      <c r="F70" s="84" t="s">
        <v>735</v>
      </c>
      <c r="G70" s="79"/>
      <c r="H70" s="79"/>
      <c r="I70" s="82"/>
      <c r="J70" s="85">
        <f>+SUBTOTAL(9,J71:J84)</f>
        <v>0</v>
      </c>
      <c r="K70" s="62" t="str">
        <f t="shared" si="0"/>
        <v/>
      </c>
      <c r="L70" s="63" t="str">
        <f t="shared" si="1"/>
        <v/>
      </c>
      <c r="M70" s="64"/>
      <c r="N70" s="65" t="str">
        <f t="shared" si="2"/>
        <v/>
      </c>
      <c r="O70" s="64"/>
      <c r="P70" s="65" t="str">
        <f t="shared" si="3"/>
        <v/>
      </c>
      <c r="Q70" s="66"/>
      <c r="R70" s="65" t="str">
        <f t="shared" si="4"/>
        <v/>
      </c>
      <c r="S70" s="67"/>
      <c r="T70" s="65" t="str">
        <f t="shared" si="5"/>
        <v/>
      </c>
      <c r="U70" s="67"/>
      <c r="V70" s="65" t="str">
        <f t="shared" si="6"/>
        <v/>
      </c>
      <c r="W70" s="67"/>
      <c r="X70" s="65" t="str">
        <f t="shared" si="7"/>
        <v/>
      </c>
      <c r="Y70" s="67"/>
      <c r="Z70" s="65" t="str">
        <f t="shared" si="8"/>
        <v/>
      </c>
      <c r="AA70" s="67"/>
      <c r="AB70" s="65" t="str">
        <f t="shared" si="9"/>
        <v/>
      </c>
      <c r="AC70" s="67"/>
      <c r="AD70" s="65" t="str">
        <f t="shared" si="10"/>
        <v/>
      </c>
      <c r="AE70" s="67"/>
      <c r="AF70" s="65" t="str">
        <f t="shared" si="11"/>
        <v/>
      </c>
      <c r="AG70" s="67"/>
      <c r="AH70" s="65" t="str">
        <f t="shared" si="12"/>
        <v/>
      </c>
      <c r="AI70" s="67"/>
      <c r="AJ70" s="65" t="str">
        <f t="shared" si="13"/>
        <v/>
      </c>
      <c r="AK70" s="67"/>
      <c r="AL70" s="65" t="str">
        <f t="shared" si="14"/>
        <v/>
      </c>
      <c r="AM70" s="67"/>
      <c r="AN70" s="65" t="str">
        <f t="shared" si="15"/>
        <v/>
      </c>
      <c r="AO70" s="67"/>
      <c r="AP70" s="65" t="str">
        <f t="shared" si="16"/>
        <v/>
      </c>
      <c r="AQ70" s="67"/>
      <c r="AR70" s="65" t="str">
        <f t="shared" si="17"/>
        <v/>
      </c>
      <c r="AS70" s="67"/>
      <c r="AT70" s="65" t="str">
        <f t="shared" si="18"/>
        <v/>
      </c>
      <c r="AU70" s="67"/>
      <c r="AV70" s="65" t="str">
        <f t="shared" si="19"/>
        <v/>
      </c>
      <c r="AW70" s="67"/>
      <c r="AX70" s="65" t="str">
        <f t="shared" si="20"/>
        <v/>
      </c>
      <c r="AY70" s="67"/>
      <c r="AZ70" s="65" t="str">
        <f t="shared" si="21"/>
        <v/>
      </c>
      <c r="BA70" s="67"/>
      <c r="BB70" s="65" t="str">
        <f t="shared" si="22"/>
        <v/>
      </c>
      <c r="BC70" s="67"/>
      <c r="BD70" s="65" t="str">
        <f t="shared" si="23"/>
        <v/>
      </c>
      <c r="BE70" s="67"/>
      <c r="BF70" s="65" t="str">
        <f t="shared" si="24"/>
        <v/>
      </c>
      <c r="BG70" s="68" t="str">
        <f t="shared" si="25"/>
        <v/>
      </c>
      <c r="BH70" s="69" t="str">
        <f t="shared" si="26"/>
        <v/>
      </c>
      <c r="BI70" s="70">
        <f t="shared" si="29"/>
        <v>0</v>
      </c>
      <c r="BJ70" s="71" t="str">
        <f t="shared" si="27"/>
        <v/>
      </c>
      <c r="BK70" s="72" t="str">
        <f t="shared" si="28"/>
        <v/>
      </c>
      <c r="BL70" s="179">
        <f t="shared" si="30"/>
        <v>0</v>
      </c>
    </row>
    <row r="71" spans="2:64" s="121" customFormat="1" ht="16.5" customHeight="1" x14ac:dyDescent="0.2">
      <c r="B71" s="120"/>
      <c r="C71" s="73" t="s">
        <v>270</v>
      </c>
      <c r="D71" s="73" t="s">
        <v>209</v>
      </c>
      <c r="E71" s="74" t="s">
        <v>736</v>
      </c>
      <c r="F71" s="75" t="s">
        <v>737</v>
      </c>
      <c r="G71" s="76" t="s">
        <v>133</v>
      </c>
      <c r="H71" s="77">
        <v>3</v>
      </c>
      <c r="I71" s="78"/>
      <c r="J71" s="77">
        <v>0</v>
      </c>
      <c r="K71" s="62" t="str">
        <f t="shared" si="0"/>
        <v/>
      </c>
      <c r="L71" s="63" t="str">
        <f t="shared" si="1"/>
        <v/>
      </c>
      <c r="M71" s="64"/>
      <c r="N71" s="65">
        <f t="shared" si="2"/>
        <v>0</v>
      </c>
      <c r="O71" s="64"/>
      <c r="P71" s="65">
        <f t="shared" si="3"/>
        <v>0</v>
      </c>
      <c r="Q71" s="66"/>
      <c r="R71" s="65">
        <f t="shared" si="4"/>
        <v>0</v>
      </c>
      <c r="S71" s="67"/>
      <c r="T71" s="65">
        <f t="shared" si="5"/>
        <v>0</v>
      </c>
      <c r="U71" s="67"/>
      <c r="V71" s="65">
        <f t="shared" si="6"/>
        <v>0</v>
      </c>
      <c r="W71" s="67"/>
      <c r="X71" s="65">
        <f t="shared" si="7"/>
        <v>0</v>
      </c>
      <c r="Y71" s="67"/>
      <c r="Z71" s="65">
        <f t="shared" si="8"/>
        <v>0</v>
      </c>
      <c r="AA71" s="67"/>
      <c r="AB71" s="65">
        <f t="shared" si="9"/>
        <v>0</v>
      </c>
      <c r="AC71" s="67"/>
      <c r="AD71" s="65">
        <f t="shared" si="10"/>
        <v>0</v>
      </c>
      <c r="AE71" s="67"/>
      <c r="AF71" s="65">
        <f t="shared" si="11"/>
        <v>0</v>
      </c>
      <c r="AG71" s="67"/>
      <c r="AH71" s="65">
        <f t="shared" si="12"/>
        <v>0</v>
      </c>
      <c r="AI71" s="67"/>
      <c r="AJ71" s="65">
        <f t="shared" si="13"/>
        <v>0</v>
      </c>
      <c r="AK71" s="67"/>
      <c r="AL71" s="65">
        <f t="shared" si="14"/>
        <v>0</v>
      </c>
      <c r="AM71" s="67"/>
      <c r="AN71" s="65">
        <f t="shared" si="15"/>
        <v>0</v>
      </c>
      <c r="AO71" s="67"/>
      <c r="AP71" s="65">
        <f t="shared" si="16"/>
        <v>0</v>
      </c>
      <c r="AQ71" s="67"/>
      <c r="AR71" s="65">
        <f t="shared" si="17"/>
        <v>0</v>
      </c>
      <c r="AS71" s="67"/>
      <c r="AT71" s="65">
        <f t="shared" si="18"/>
        <v>0</v>
      </c>
      <c r="AU71" s="67"/>
      <c r="AV71" s="65">
        <f t="shared" si="19"/>
        <v>0</v>
      </c>
      <c r="AW71" s="67"/>
      <c r="AX71" s="65">
        <f t="shared" si="20"/>
        <v>0</v>
      </c>
      <c r="AY71" s="67"/>
      <c r="AZ71" s="65">
        <f t="shared" si="21"/>
        <v>0</v>
      </c>
      <c r="BA71" s="67"/>
      <c r="BB71" s="65">
        <f t="shared" si="22"/>
        <v>0</v>
      </c>
      <c r="BC71" s="67"/>
      <c r="BD71" s="65">
        <f t="shared" si="23"/>
        <v>0</v>
      </c>
      <c r="BE71" s="67"/>
      <c r="BF71" s="65">
        <f t="shared" si="24"/>
        <v>0</v>
      </c>
      <c r="BG71" s="68">
        <f t="shared" si="25"/>
        <v>0</v>
      </c>
      <c r="BH71" s="69">
        <f t="shared" si="26"/>
        <v>0</v>
      </c>
      <c r="BI71" s="70">
        <f t="shared" si="29"/>
        <v>0</v>
      </c>
      <c r="BJ71" s="71">
        <f t="shared" si="27"/>
        <v>3</v>
      </c>
      <c r="BK71" s="72">
        <f t="shared" si="28"/>
        <v>0</v>
      </c>
      <c r="BL71" s="179">
        <f t="shared" si="30"/>
        <v>0</v>
      </c>
    </row>
    <row r="72" spans="2:64" s="121" customFormat="1" ht="16.5" customHeight="1" x14ac:dyDescent="0.2">
      <c r="B72" s="120"/>
      <c r="C72" s="73" t="s">
        <v>273</v>
      </c>
      <c r="D72" s="73" t="s">
        <v>209</v>
      </c>
      <c r="E72" s="74" t="s">
        <v>738</v>
      </c>
      <c r="F72" s="75" t="s">
        <v>739</v>
      </c>
      <c r="G72" s="76" t="s">
        <v>578</v>
      </c>
      <c r="H72" s="77">
        <v>1</v>
      </c>
      <c r="I72" s="78"/>
      <c r="J72" s="77">
        <v>0</v>
      </c>
      <c r="K72" s="62" t="str">
        <f t="shared" si="0"/>
        <v/>
      </c>
      <c r="L72" s="63" t="str">
        <f t="shared" si="1"/>
        <v/>
      </c>
      <c r="M72" s="64"/>
      <c r="N72" s="65">
        <f t="shared" si="2"/>
        <v>0</v>
      </c>
      <c r="O72" s="64"/>
      <c r="P72" s="65">
        <f t="shared" si="3"/>
        <v>0</v>
      </c>
      <c r="Q72" s="66"/>
      <c r="R72" s="65">
        <f t="shared" si="4"/>
        <v>0</v>
      </c>
      <c r="S72" s="67"/>
      <c r="T72" s="65">
        <f t="shared" si="5"/>
        <v>0</v>
      </c>
      <c r="U72" s="67"/>
      <c r="V72" s="65">
        <f t="shared" si="6"/>
        <v>0</v>
      </c>
      <c r="W72" s="67"/>
      <c r="X72" s="65">
        <f t="shared" si="7"/>
        <v>0</v>
      </c>
      <c r="Y72" s="67"/>
      <c r="Z72" s="65">
        <f t="shared" si="8"/>
        <v>0</v>
      </c>
      <c r="AA72" s="67"/>
      <c r="AB72" s="65">
        <f t="shared" si="9"/>
        <v>0</v>
      </c>
      <c r="AC72" s="67"/>
      <c r="AD72" s="65">
        <f t="shared" si="10"/>
        <v>0</v>
      </c>
      <c r="AE72" s="67"/>
      <c r="AF72" s="65">
        <f t="shared" si="11"/>
        <v>0</v>
      </c>
      <c r="AG72" s="67"/>
      <c r="AH72" s="65">
        <f t="shared" si="12"/>
        <v>0</v>
      </c>
      <c r="AI72" s="67"/>
      <c r="AJ72" s="65">
        <f t="shared" si="13"/>
        <v>0</v>
      </c>
      <c r="AK72" s="67"/>
      <c r="AL72" s="65">
        <f t="shared" si="14"/>
        <v>0</v>
      </c>
      <c r="AM72" s="67"/>
      <c r="AN72" s="65">
        <f t="shared" si="15"/>
        <v>0</v>
      </c>
      <c r="AO72" s="67"/>
      <c r="AP72" s="65">
        <f t="shared" si="16"/>
        <v>0</v>
      </c>
      <c r="AQ72" s="67"/>
      <c r="AR72" s="65">
        <f t="shared" si="17"/>
        <v>0</v>
      </c>
      <c r="AS72" s="67"/>
      <c r="AT72" s="65">
        <f t="shared" si="18"/>
        <v>0</v>
      </c>
      <c r="AU72" s="67"/>
      <c r="AV72" s="65">
        <f t="shared" si="19"/>
        <v>0</v>
      </c>
      <c r="AW72" s="67"/>
      <c r="AX72" s="65">
        <f t="shared" si="20"/>
        <v>0</v>
      </c>
      <c r="AY72" s="67"/>
      <c r="AZ72" s="65">
        <f t="shared" si="21"/>
        <v>0</v>
      </c>
      <c r="BA72" s="67"/>
      <c r="BB72" s="65">
        <f t="shared" si="22"/>
        <v>0</v>
      </c>
      <c r="BC72" s="67"/>
      <c r="BD72" s="65">
        <f t="shared" si="23"/>
        <v>0</v>
      </c>
      <c r="BE72" s="67"/>
      <c r="BF72" s="65">
        <f t="shared" si="24"/>
        <v>0</v>
      </c>
      <c r="BG72" s="68">
        <f t="shared" si="25"/>
        <v>0</v>
      </c>
      <c r="BH72" s="69">
        <f t="shared" si="26"/>
        <v>0</v>
      </c>
      <c r="BI72" s="70">
        <f t="shared" si="29"/>
        <v>0</v>
      </c>
      <c r="BJ72" s="71">
        <f t="shared" si="27"/>
        <v>1</v>
      </c>
      <c r="BK72" s="72">
        <f t="shared" si="28"/>
        <v>0</v>
      </c>
      <c r="BL72" s="179">
        <f t="shared" si="30"/>
        <v>0</v>
      </c>
    </row>
    <row r="73" spans="2:64" s="121" customFormat="1" ht="16.5" customHeight="1" x14ac:dyDescent="0.2">
      <c r="B73" s="120"/>
      <c r="C73" s="73" t="s">
        <v>276</v>
      </c>
      <c r="D73" s="73" t="s">
        <v>209</v>
      </c>
      <c r="E73" s="74" t="s">
        <v>740</v>
      </c>
      <c r="F73" s="75" t="s">
        <v>741</v>
      </c>
      <c r="G73" s="76" t="s">
        <v>578</v>
      </c>
      <c r="H73" s="77">
        <v>1</v>
      </c>
      <c r="I73" s="78"/>
      <c r="J73" s="77">
        <v>0</v>
      </c>
      <c r="K73" s="62" t="str">
        <f t="shared" si="0"/>
        <v/>
      </c>
      <c r="L73" s="63" t="str">
        <f t="shared" si="1"/>
        <v/>
      </c>
      <c r="M73" s="64"/>
      <c r="N73" s="65">
        <f t="shared" si="2"/>
        <v>0</v>
      </c>
      <c r="O73" s="64"/>
      <c r="P73" s="65">
        <f t="shared" si="3"/>
        <v>0</v>
      </c>
      <c r="Q73" s="66"/>
      <c r="R73" s="65">
        <f t="shared" si="4"/>
        <v>0</v>
      </c>
      <c r="S73" s="67"/>
      <c r="T73" s="65">
        <f t="shared" si="5"/>
        <v>0</v>
      </c>
      <c r="U73" s="67"/>
      <c r="V73" s="65">
        <f t="shared" si="6"/>
        <v>0</v>
      </c>
      <c r="W73" s="67"/>
      <c r="X73" s="65">
        <f t="shared" si="7"/>
        <v>0</v>
      </c>
      <c r="Y73" s="67"/>
      <c r="Z73" s="65">
        <f t="shared" si="8"/>
        <v>0</v>
      </c>
      <c r="AA73" s="67"/>
      <c r="AB73" s="65">
        <f t="shared" si="9"/>
        <v>0</v>
      </c>
      <c r="AC73" s="67"/>
      <c r="AD73" s="65">
        <f t="shared" si="10"/>
        <v>0</v>
      </c>
      <c r="AE73" s="67"/>
      <c r="AF73" s="65">
        <f t="shared" si="11"/>
        <v>0</v>
      </c>
      <c r="AG73" s="67"/>
      <c r="AH73" s="65">
        <f t="shared" si="12"/>
        <v>0</v>
      </c>
      <c r="AI73" s="67"/>
      <c r="AJ73" s="65">
        <f t="shared" si="13"/>
        <v>0</v>
      </c>
      <c r="AK73" s="67"/>
      <c r="AL73" s="65">
        <f t="shared" si="14"/>
        <v>0</v>
      </c>
      <c r="AM73" s="67"/>
      <c r="AN73" s="65">
        <f t="shared" si="15"/>
        <v>0</v>
      </c>
      <c r="AO73" s="67"/>
      <c r="AP73" s="65">
        <f t="shared" si="16"/>
        <v>0</v>
      </c>
      <c r="AQ73" s="67"/>
      <c r="AR73" s="65">
        <f t="shared" si="17"/>
        <v>0</v>
      </c>
      <c r="AS73" s="67"/>
      <c r="AT73" s="65">
        <f t="shared" si="18"/>
        <v>0</v>
      </c>
      <c r="AU73" s="67"/>
      <c r="AV73" s="65">
        <f t="shared" si="19"/>
        <v>0</v>
      </c>
      <c r="AW73" s="67"/>
      <c r="AX73" s="65">
        <f t="shared" si="20"/>
        <v>0</v>
      </c>
      <c r="AY73" s="67"/>
      <c r="AZ73" s="65">
        <f t="shared" si="21"/>
        <v>0</v>
      </c>
      <c r="BA73" s="67"/>
      <c r="BB73" s="65">
        <f t="shared" si="22"/>
        <v>0</v>
      </c>
      <c r="BC73" s="67"/>
      <c r="BD73" s="65">
        <f t="shared" si="23"/>
        <v>0</v>
      </c>
      <c r="BE73" s="67"/>
      <c r="BF73" s="65">
        <f t="shared" si="24"/>
        <v>0</v>
      </c>
      <c r="BG73" s="68">
        <f t="shared" si="25"/>
        <v>0</v>
      </c>
      <c r="BH73" s="69">
        <f t="shared" si="26"/>
        <v>0</v>
      </c>
      <c r="BI73" s="70">
        <f t="shared" si="29"/>
        <v>0</v>
      </c>
      <c r="BJ73" s="71">
        <f t="shared" si="27"/>
        <v>1</v>
      </c>
      <c r="BK73" s="72">
        <f t="shared" si="28"/>
        <v>0</v>
      </c>
      <c r="BL73" s="179">
        <f t="shared" si="30"/>
        <v>0</v>
      </c>
    </row>
    <row r="74" spans="2:64" s="121" customFormat="1" ht="16.5" customHeight="1" x14ac:dyDescent="0.2">
      <c r="B74" s="120"/>
      <c r="C74" s="73" t="s">
        <v>279</v>
      </c>
      <c r="D74" s="73" t="s">
        <v>209</v>
      </c>
      <c r="E74" s="74" t="s">
        <v>742</v>
      </c>
      <c r="F74" s="75" t="s">
        <v>743</v>
      </c>
      <c r="G74" s="76" t="s">
        <v>578</v>
      </c>
      <c r="H74" s="77">
        <v>1</v>
      </c>
      <c r="I74" s="78"/>
      <c r="J74" s="77">
        <v>0</v>
      </c>
      <c r="K74" s="62" t="str">
        <f t="shared" si="0"/>
        <v/>
      </c>
      <c r="L74" s="63" t="str">
        <f t="shared" si="1"/>
        <v/>
      </c>
      <c r="M74" s="64"/>
      <c r="N74" s="65">
        <f t="shared" si="2"/>
        <v>0</v>
      </c>
      <c r="O74" s="64"/>
      <c r="P74" s="65">
        <f t="shared" si="3"/>
        <v>0</v>
      </c>
      <c r="Q74" s="66"/>
      <c r="R74" s="65">
        <f t="shared" si="4"/>
        <v>0</v>
      </c>
      <c r="S74" s="67"/>
      <c r="T74" s="65">
        <f t="shared" si="5"/>
        <v>0</v>
      </c>
      <c r="U74" s="67"/>
      <c r="V74" s="65">
        <f t="shared" si="6"/>
        <v>0</v>
      </c>
      <c r="W74" s="67"/>
      <c r="X74" s="65">
        <f t="shared" si="7"/>
        <v>0</v>
      </c>
      <c r="Y74" s="67"/>
      <c r="Z74" s="65">
        <f t="shared" si="8"/>
        <v>0</v>
      </c>
      <c r="AA74" s="67"/>
      <c r="AB74" s="65">
        <f t="shared" si="9"/>
        <v>0</v>
      </c>
      <c r="AC74" s="67"/>
      <c r="AD74" s="65">
        <f t="shared" si="10"/>
        <v>0</v>
      </c>
      <c r="AE74" s="67"/>
      <c r="AF74" s="65">
        <f t="shared" si="11"/>
        <v>0</v>
      </c>
      <c r="AG74" s="67"/>
      <c r="AH74" s="65">
        <f t="shared" si="12"/>
        <v>0</v>
      </c>
      <c r="AI74" s="67"/>
      <c r="AJ74" s="65">
        <f t="shared" si="13"/>
        <v>0</v>
      </c>
      <c r="AK74" s="67"/>
      <c r="AL74" s="65">
        <f t="shared" si="14"/>
        <v>0</v>
      </c>
      <c r="AM74" s="67"/>
      <c r="AN74" s="65">
        <f t="shared" si="15"/>
        <v>0</v>
      </c>
      <c r="AO74" s="67"/>
      <c r="AP74" s="65">
        <f t="shared" si="16"/>
        <v>0</v>
      </c>
      <c r="AQ74" s="67"/>
      <c r="AR74" s="65">
        <f t="shared" si="17"/>
        <v>0</v>
      </c>
      <c r="AS74" s="67"/>
      <c r="AT74" s="65">
        <f t="shared" si="18"/>
        <v>0</v>
      </c>
      <c r="AU74" s="67"/>
      <c r="AV74" s="65">
        <f t="shared" si="19"/>
        <v>0</v>
      </c>
      <c r="AW74" s="67"/>
      <c r="AX74" s="65">
        <f t="shared" si="20"/>
        <v>0</v>
      </c>
      <c r="AY74" s="67"/>
      <c r="AZ74" s="65">
        <f t="shared" si="21"/>
        <v>0</v>
      </c>
      <c r="BA74" s="67"/>
      <c r="BB74" s="65">
        <f t="shared" si="22"/>
        <v>0</v>
      </c>
      <c r="BC74" s="67"/>
      <c r="BD74" s="65">
        <f t="shared" si="23"/>
        <v>0</v>
      </c>
      <c r="BE74" s="67"/>
      <c r="BF74" s="65">
        <f t="shared" si="24"/>
        <v>0</v>
      </c>
      <c r="BG74" s="68">
        <f t="shared" si="25"/>
        <v>0</v>
      </c>
      <c r="BH74" s="69">
        <f t="shared" si="26"/>
        <v>0</v>
      </c>
      <c r="BI74" s="70">
        <f t="shared" si="29"/>
        <v>0</v>
      </c>
      <c r="BJ74" s="71">
        <f t="shared" si="27"/>
        <v>1</v>
      </c>
      <c r="BK74" s="72">
        <f t="shared" si="28"/>
        <v>0</v>
      </c>
      <c r="BL74" s="179">
        <f t="shared" si="30"/>
        <v>0</v>
      </c>
    </row>
    <row r="75" spans="2:64" s="121" customFormat="1" ht="16.5" customHeight="1" x14ac:dyDescent="0.2">
      <c r="B75" s="120"/>
      <c r="C75" s="73" t="s">
        <v>282</v>
      </c>
      <c r="D75" s="73" t="s">
        <v>209</v>
      </c>
      <c r="E75" s="74" t="s">
        <v>744</v>
      </c>
      <c r="F75" s="75" t="s">
        <v>745</v>
      </c>
      <c r="G75" s="76" t="s">
        <v>133</v>
      </c>
      <c r="H75" s="77">
        <v>8</v>
      </c>
      <c r="I75" s="78"/>
      <c r="J75" s="77">
        <v>0</v>
      </c>
      <c r="K75" s="62" t="str">
        <f t="shared" si="0"/>
        <v/>
      </c>
      <c r="L75" s="63" t="str">
        <f t="shared" si="1"/>
        <v/>
      </c>
      <c r="M75" s="64"/>
      <c r="N75" s="65">
        <f t="shared" si="2"/>
        <v>0</v>
      </c>
      <c r="O75" s="64"/>
      <c r="P75" s="65">
        <f t="shared" si="3"/>
        <v>0</v>
      </c>
      <c r="Q75" s="66"/>
      <c r="R75" s="65">
        <f t="shared" si="4"/>
        <v>0</v>
      </c>
      <c r="S75" s="67"/>
      <c r="T75" s="65">
        <f t="shared" si="5"/>
        <v>0</v>
      </c>
      <c r="U75" s="67"/>
      <c r="V75" s="65">
        <f t="shared" si="6"/>
        <v>0</v>
      </c>
      <c r="W75" s="67"/>
      <c r="X75" s="65">
        <f t="shared" si="7"/>
        <v>0</v>
      </c>
      <c r="Y75" s="67"/>
      <c r="Z75" s="65">
        <f t="shared" si="8"/>
        <v>0</v>
      </c>
      <c r="AA75" s="67"/>
      <c r="AB75" s="65">
        <f t="shared" si="9"/>
        <v>0</v>
      </c>
      <c r="AC75" s="67"/>
      <c r="AD75" s="65">
        <f t="shared" si="10"/>
        <v>0</v>
      </c>
      <c r="AE75" s="67"/>
      <c r="AF75" s="65">
        <f t="shared" si="11"/>
        <v>0</v>
      </c>
      <c r="AG75" s="67"/>
      <c r="AH75" s="65">
        <f t="shared" si="12"/>
        <v>0</v>
      </c>
      <c r="AI75" s="67"/>
      <c r="AJ75" s="65">
        <f t="shared" si="13"/>
        <v>0</v>
      </c>
      <c r="AK75" s="67"/>
      <c r="AL75" s="65">
        <f t="shared" si="14"/>
        <v>0</v>
      </c>
      <c r="AM75" s="67"/>
      <c r="AN75" s="65">
        <f t="shared" si="15"/>
        <v>0</v>
      </c>
      <c r="AO75" s="67"/>
      <c r="AP75" s="65">
        <f t="shared" si="16"/>
        <v>0</v>
      </c>
      <c r="AQ75" s="67"/>
      <c r="AR75" s="65">
        <f t="shared" si="17"/>
        <v>0</v>
      </c>
      <c r="AS75" s="67"/>
      <c r="AT75" s="65">
        <f t="shared" si="18"/>
        <v>0</v>
      </c>
      <c r="AU75" s="67"/>
      <c r="AV75" s="65">
        <f t="shared" si="19"/>
        <v>0</v>
      </c>
      <c r="AW75" s="67"/>
      <c r="AX75" s="65">
        <f t="shared" si="20"/>
        <v>0</v>
      </c>
      <c r="AY75" s="67"/>
      <c r="AZ75" s="65">
        <f t="shared" si="21"/>
        <v>0</v>
      </c>
      <c r="BA75" s="67"/>
      <c r="BB75" s="65">
        <f t="shared" si="22"/>
        <v>0</v>
      </c>
      <c r="BC75" s="67"/>
      <c r="BD75" s="65">
        <f t="shared" si="23"/>
        <v>0</v>
      </c>
      <c r="BE75" s="67"/>
      <c r="BF75" s="65">
        <f t="shared" si="24"/>
        <v>0</v>
      </c>
      <c r="BG75" s="68">
        <f t="shared" si="25"/>
        <v>0</v>
      </c>
      <c r="BH75" s="69">
        <f t="shared" si="26"/>
        <v>0</v>
      </c>
      <c r="BI75" s="70">
        <f t="shared" si="29"/>
        <v>0</v>
      </c>
      <c r="BJ75" s="71">
        <f t="shared" si="27"/>
        <v>8</v>
      </c>
      <c r="BK75" s="72">
        <f t="shared" si="28"/>
        <v>0</v>
      </c>
      <c r="BL75" s="179">
        <f t="shared" si="30"/>
        <v>0</v>
      </c>
    </row>
    <row r="76" spans="2:64" s="121" customFormat="1" ht="16.5" customHeight="1" x14ac:dyDescent="0.2">
      <c r="B76" s="120"/>
      <c r="C76" s="73" t="s">
        <v>285</v>
      </c>
      <c r="D76" s="73" t="s">
        <v>209</v>
      </c>
      <c r="E76" s="74" t="s">
        <v>746</v>
      </c>
      <c r="F76" s="75" t="s">
        <v>747</v>
      </c>
      <c r="G76" s="76" t="s">
        <v>133</v>
      </c>
      <c r="H76" s="77">
        <v>15</v>
      </c>
      <c r="I76" s="78"/>
      <c r="J76" s="77">
        <v>0</v>
      </c>
      <c r="K76" s="62" t="str">
        <f t="shared" ref="K76:K91" si="31">IF(ISBLANK(I76),"",SUM(M76+O76+Q76+S76+U76+W76+Y76+AA76+AC76+AE76+AG76+AI76+AK76+BE76,AM76,AO76,AQ76,AS76,AU76,AW76,AY76,BA76,BC76))</f>
        <v/>
      </c>
      <c r="L76" s="63" t="str">
        <f t="shared" ref="L76:L91" si="32">IF(ISBLANK(I76),"",K76*I76)</f>
        <v/>
      </c>
      <c r="M76" s="64"/>
      <c r="N76" s="65">
        <f t="shared" ref="N76:N91" si="33">IF(ISBLANK($H76),"",M76*$I76)</f>
        <v>0</v>
      </c>
      <c r="O76" s="64"/>
      <c r="P76" s="65">
        <f t="shared" ref="P76:P91" si="34">IF(ISBLANK($H76),"",O76*$I76)</f>
        <v>0</v>
      </c>
      <c r="Q76" s="66"/>
      <c r="R76" s="65">
        <f t="shared" ref="R76:R91" si="35">IF(ISBLANK($H76),"",Q76*$I76)</f>
        <v>0</v>
      </c>
      <c r="S76" s="67"/>
      <c r="T76" s="65">
        <f t="shared" ref="T76:T91" si="36">IF(ISBLANK($H76),"",S76*$I76)</f>
        <v>0</v>
      </c>
      <c r="U76" s="67"/>
      <c r="V76" s="65">
        <f t="shared" ref="V76:V91" si="37">IF(ISBLANK($H76),"",U76*$I76)</f>
        <v>0</v>
      </c>
      <c r="W76" s="67"/>
      <c r="X76" s="65">
        <f t="shared" ref="X76:X91" si="38">IF(ISBLANK($H76),"",W76*$I76)</f>
        <v>0</v>
      </c>
      <c r="Y76" s="67"/>
      <c r="Z76" s="65">
        <f t="shared" ref="Z76:Z91" si="39">IF(ISBLANK($H76),"",Y76*$I76)</f>
        <v>0</v>
      </c>
      <c r="AA76" s="67"/>
      <c r="AB76" s="65">
        <f t="shared" ref="AB76:AB91" si="40">IF(ISBLANK($H76),"",AA76*$I76)</f>
        <v>0</v>
      </c>
      <c r="AC76" s="67"/>
      <c r="AD76" s="65">
        <f t="shared" ref="AD76:AD91" si="41">IF(ISBLANK($H76),"",AC76*$I76)</f>
        <v>0</v>
      </c>
      <c r="AE76" s="67"/>
      <c r="AF76" s="65">
        <f t="shared" ref="AF76:AF91" si="42">IF(ISBLANK($H76),"",AE76*$I76)</f>
        <v>0</v>
      </c>
      <c r="AG76" s="67"/>
      <c r="AH76" s="65">
        <f t="shared" ref="AH76:AH91" si="43">IF(ISBLANK($H76),"",AG76*$I76)</f>
        <v>0</v>
      </c>
      <c r="AI76" s="67"/>
      <c r="AJ76" s="65">
        <f t="shared" ref="AJ76:AJ91" si="44">IF(ISBLANK($H76),"",AI76*$I76)</f>
        <v>0</v>
      </c>
      <c r="AK76" s="67"/>
      <c r="AL76" s="65">
        <f t="shared" ref="AL76:AL91" si="45">IF(ISBLANK($H76),"",AK76*$I76)</f>
        <v>0</v>
      </c>
      <c r="AM76" s="67"/>
      <c r="AN76" s="65">
        <f t="shared" ref="AN76:AN91" si="46">IF(ISBLANK($H76),"",AM76*$I76)</f>
        <v>0</v>
      </c>
      <c r="AO76" s="67"/>
      <c r="AP76" s="65">
        <f t="shared" ref="AP76:AP91" si="47">IF(ISBLANK($H76),"",AO76*$I76)</f>
        <v>0</v>
      </c>
      <c r="AQ76" s="67"/>
      <c r="AR76" s="65">
        <f t="shared" ref="AR76:AR91" si="48">IF(ISBLANK($H76),"",AQ76*$I76)</f>
        <v>0</v>
      </c>
      <c r="AS76" s="67"/>
      <c r="AT76" s="65">
        <f t="shared" ref="AT76:AT91" si="49">IF(ISBLANK($H76),"",AS76*$I76)</f>
        <v>0</v>
      </c>
      <c r="AU76" s="67"/>
      <c r="AV76" s="65">
        <f t="shared" ref="AV76:AV91" si="50">IF(ISBLANK($H76),"",AU76*$I76)</f>
        <v>0</v>
      </c>
      <c r="AW76" s="67"/>
      <c r="AX76" s="65">
        <f t="shared" ref="AX76:AX91" si="51">IF(ISBLANK($H76),"",AW76*$I76)</f>
        <v>0</v>
      </c>
      <c r="AY76" s="67"/>
      <c r="AZ76" s="65">
        <f t="shared" ref="AZ76:AZ91" si="52">IF(ISBLANK($H76),"",AY76*$I76)</f>
        <v>0</v>
      </c>
      <c r="BA76" s="67"/>
      <c r="BB76" s="65">
        <f t="shared" ref="BB76:BB91" si="53">IF(ISBLANK($H76),"",BA76*$I76)</f>
        <v>0</v>
      </c>
      <c r="BC76" s="67"/>
      <c r="BD76" s="65">
        <f t="shared" ref="BD76:BD91" si="54">IF(ISBLANK($H76),"",BC76*$I76)</f>
        <v>0</v>
      </c>
      <c r="BE76" s="67"/>
      <c r="BF76" s="65">
        <f t="shared" ref="BF76:BF91" si="55">IF(ISBLANK($H76),"",BE76*$I76)</f>
        <v>0</v>
      </c>
      <c r="BG76" s="68">
        <f t="shared" ref="BG76:BG91" si="56">IF(ISBLANK(H76),"",SUM(M76+O76+Q76+S76+U76+W76+Y76+AA76+AC76+AE76+AG76+AI76+AK76+BE76+AM76,AO76,AQ76,AS76+AU76,AW76,AY76,BA76,BC76,BE76))</f>
        <v>0</v>
      </c>
      <c r="BH76" s="69">
        <f t="shared" ref="BH76:BH91" si="57">IF(ISBLANK(H76),"",SUM(N76+P76+R76+T76+V76+X76+Z76+AB76+AD76+AF76+AH76+AJ76+AL76+BF76,BD76,BB76,AZ76,AX76,AV76,AT76,AR76,AP76,AN76))</f>
        <v>0</v>
      </c>
      <c r="BI76" s="70">
        <f t="shared" si="29"/>
        <v>0</v>
      </c>
      <c r="BJ76" s="71">
        <f t="shared" ref="BJ76:BJ91" si="58">IF(ISBLANK(H76),"",H76-BG76)</f>
        <v>15</v>
      </c>
      <c r="BK76" s="72">
        <f t="shared" ref="BK76:BK91" si="59">IF(ISBLANK(H76),"",J76-BH76)</f>
        <v>0</v>
      </c>
      <c r="BL76" s="179">
        <f t="shared" si="30"/>
        <v>0</v>
      </c>
    </row>
    <row r="77" spans="2:64" s="121" customFormat="1" ht="16.5" customHeight="1" x14ac:dyDescent="0.2">
      <c r="B77" s="120"/>
      <c r="C77" s="73" t="s">
        <v>289</v>
      </c>
      <c r="D77" s="73" t="s">
        <v>209</v>
      </c>
      <c r="E77" s="74" t="s">
        <v>748</v>
      </c>
      <c r="F77" s="75" t="s">
        <v>749</v>
      </c>
      <c r="G77" s="76" t="s">
        <v>133</v>
      </c>
      <c r="H77" s="77">
        <v>10</v>
      </c>
      <c r="I77" s="78"/>
      <c r="J77" s="77">
        <v>0</v>
      </c>
      <c r="K77" s="62" t="str">
        <f t="shared" si="31"/>
        <v/>
      </c>
      <c r="L77" s="63" t="str">
        <f t="shared" si="32"/>
        <v/>
      </c>
      <c r="M77" s="64"/>
      <c r="N77" s="65">
        <f t="shared" si="33"/>
        <v>0</v>
      </c>
      <c r="O77" s="64"/>
      <c r="P77" s="65">
        <f t="shared" si="34"/>
        <v>0</v>
      </c>
      <c r="Q77" s="66"/>
      <c r="R77" s="65">
        <f t="shared" si="35"/>
        <v>0</v>
      </c>
      <c r="S77" s="67"/>
      <c r="T77" s="65">
        <f t="shared" si="36"/>
        <v>0</v>
      </c>
      <c r="U77" s="67"/>
      <c r="V77" s="65">
        <f t="shared" si="37"/>
        <v>0</v>
      </c>
      <c r="W77" s="67"/>
      <c r="X77" s="65">
        <f t="shared" si="38"/>
        <v>0</v>
      </c>
      <c r="Y77" s="67"/>
      <c r="Z77" s="65">
        <f t="shared" si="39"/>
        <v>0</v>
      </c>
      <c r="AA77" s="67"/>
      <c r="AB77" s="65">
        <f t="shared" si="40"/>
        <v>0</v>
      </c>
      <c r="AC77" s="67"/>
      <c r="AD77" s="65">
        <f t="shared" si="41"/>
        <v>0</v>
      </c>
      <c r="AE77" s="67"/>
      <c r="AF77" s="65">
        <f t="shared" si="42"/>
        <v>0</v>
      </c>
      <c r="AG77" s="67"/>
      <c r="AH77" s="65">
        <f t="shared" si="43"/>
        <v>0</v>
      </c>
      <c r="AI77" s="67"/>
      <c r="AJ77" s="65">
        <f t="shared" si="44"/>
        <v>0</v>
      </c>
      <c r="AK77" s="67"/>
      <c r="AL77" s="65">
        <f t="shared" si="45"/>
        <v>0</v>
      </c>
      <c r="AM77" s="67"/>
      <c r="AN77" s="65">
        <f t="shared" si="46"/>
        <v>0</v>
      </c>
      <c r="AO77" s="67"/>
      <c r="AP77" s="65">
        <f t="shared" si="47"/>
        <v>0</v>
      </c>
      <c r="AQ77" s="67"/>
      <c r="AR77" s="65">
        <f t="shared" si="48"/>
        <v>0</v>
      </c>
      <c r="AS77" s="67"/>
      <c r="AT77" s="65">
        <f t="shared" si="49"/>
        <v>0</v>
      </c>
      <c r="AU77" s="67"/>
      <c r="AV77" s="65">
        <f t="shared" si="50"/>
        <v>0</v>
      </c>
      <c r="AW77" s="67"/>
      <c r="AX77" s="65">
        <f t="shared" si="51"/>
        <v>0</v>
      </c>
      <c r="AY77" s="67"/>
      <c r="AZ77" s="65">
        <f t="shared" si="52"/>
        <v>0</v>
      </c>
      <c r="BA77" s="67"/>
      <c r="BB77" s="65">
        <f t="shared" si="53"/>
        <v>0</v>
      </c>
      <c r="BC77" s="67"/>
      <c r="BD77" s="65">
        <f t="shared" si="54"/>
        <v>0</v>
      </c>
      <c r="BE77" s="67"/>
      <c r="BF77" s="65">
        <f t="shared" si="55"/>
        <v>0</v>
      </c>
      <c r="BG77" s="68">
        <f t="shared" si="56"/>
        <v>0</v>
      </c>
      <c r="BH77" s="69">
        <f t="shared" si="57"/>
        <v>0</v>
      </c>
      <c r="BI77" s="70">
        <f t="shared" si="29"/>
        <v>0</v>
      </c>
      <c r="BJ77" s="71">
        <f t="shared" si="58"/>
        <v>10</v>
      </c>
      <c r="BK77" s="72">
        <f t="shared" si="59"/>
        <v>0</v>
      </c>
      <c r="BL77" s="179">
        <f t="shared" si="30"/>
        <v>0</v>
      </c>
    </row>
    <row r="78" spans="2:64" s="121" customFormat="1" ht="16.5" customHeight="1" x14ac:dyDescent="0.2">
      <c r="B78" s="120"/>
      <c r="C78" s="73" t="s">
        <v>292</v>
      </c>
      <c r="D78" s="73" t="s">
        <v>209</v>
      </c>
      <c r="E78" s="74" t="s">
        <v>750</v>
      </c>
      <c r="F78" s="75" t="s">
        <v>751</v>
      </c>
      <c r="G78" s="76" t="s">
        <v>133</v>
      </c>
      <c r="H78" s="77">
        <v>10</v>
      </c>
      <c r="I78" s="78"/>
      <c r="J78" s="77">
        <v>0</v>
      </c>
      <c r="K78" s="62" t="str">
        <f t="shared" si="31"/>
        <v/>
      </c>
      <c r="L78" s="63" t="str">
        <f t="shared" si="32"/>
        <v/>
      </c>
      <c r="M78" s="64"/>
      <c r="N78" s="65">
        <f t="shared" si="33"/>
        <v>0</v>
      </c>
      <c r="O78" s="64"/>
      <c r="P78" s="65">
        <f t="shared" si="34"/>
        <v>0</v>
      </c>
      <c r="Q78" s="66"/>
      <c r="R78" s="65">
        <f t="shared" si="35"/>
        <v>0</v>
      </c>
      <c r="S78" s="67"/>
      <c r="T78" s="65">
        <f t="shared" si="36"/>
        <v>0</v>
      </c>
      <c r="U78" s="67"/>
      <c r="V78" s="65">
        <f t="shared" si="37"/>
        <v>0</v>
      </c>
      <c r="W78" s="67"/>
      <c r="X78" s="65">
        <f t="shared" si="38"/>
        <v>0</v>
      </c>
      <c r="Y78" s="67"/>
      <c r="Z78" s="65">
        <f t="shared" si="39"/>
        <v>0</v>
      </c>
      <c r="AA78" s="67"/>
      <c r="AB78" s="65">
        <f t="shared" si="40"/>
        <v>0</v>
      </c>
      <c r="AC78" s="67"/>
      <c r="AD78" s="65">
        <f t="shared" si="41"/>
        <v>0</v>
      </c>
      <c r="AE78" s="67"/>
      <c r="AF78" s="65">
        <f t="shared" si="42"/>
        <v>0</v>
      </c>
      <c r="AG78" s="67"/>
      <c r="AH78" s="65">
        <f t="shared" si="43"/>
        <v>0</v>
      </c>
      <c r="AI78" s="67"/>
      <c r="AJ78" s="65">
        <f t="shared" si="44"/>
        <v>0</v>
      </c>
      <c r="AK78" s="67"/>
      <c r="AL78" s="65">
        <f t="shared" si="45"/>
        <v>0</v>
      </c>
      <c r="AM78" s="67"/>
      <c r="AN78" s="65">
        <f t="shared" si="46"/>
        <v>0</v>
      </c>
      <c r="AO78" s="67"/>
      <c r="AP78" s="65">
        <f t="shared" si="47"/>
        <v>0</v>
      </c>
      <c r="AQ78" s="67"/>
      <c r="AR78" s="65">
        <f t="shared" si="48"/>
        <v>0</v>
      </c>
      <c r="AS78" s="67"/>
      <c r="AT78" s="65">
        <f t="shared" si="49"/>
        <v>0</v>
      </c>
      <c r="AU78" s="67"/>
      <c r="AV78" s="65">
        <f t="shared" si="50"/>
        <v>0</v>
      </c>
      <c r="AW78" s="67"/>
      <c r="AX78" s="65">
        <f t="shared" si="51"/>
        <v>0</v>
      </c>
      <c r="AY78" s="67"/>
      <c r="AZ78" s="65">
        <f t="shared" si="52"/>
        <v>0</v>
      </c>
      <c r="BA78" s="67"/>
      <c r="BB78" s="65">
        <f t="shared" si="53"/>
        <v>0</v>
      </c>
      <c r="BC78" s="67"/>
      <c r="BD78" s="65">
        <f t="shared" si="54"/>
        <v>0</v>
      </c>
      <c r="BE78" s="67"/>
      <c r="BF78" s="65">
        <f t="shared" si="55"/>
        <v>0</v>
      </c>
      <c r="BG78" s="68">
        <f t="shared" si="56"/>
        <v>0</v>
      </c>
      <c r="BH78" s="69">
        <f t="shared" si="57"/>
        <v>0</v>
      </c>
      <c r="BI78" s="70">
        <f t="shared" si="29"/>
        <v>0</v>
      </c>
      <c r="BJ78" s="71">
        <f t="shared" si="58"/>
        <v>10</v>
      </c>
      <c r="BK78" s="72">
        <f t="shared" si="59"/>
        <v>0</v>
      </c>
      <c r="BL78" s="179">
        <f t="shared" si="30"/>
        <v>0</v>
      </c>
    </row>
    <row r="79" spans="2:64" s="121" customFormat="1" ht="16.5" customHeight="1" x14ac:dyDescent="0.2">
      <c r="B79" s="120"/>
      <c r="C79" s="73" t="s">
        <v>295</v>
      </c>
      <c r="D79" s="73" t="s">
        <v>209</v>
      </c>
      <c r="E79" s="74" t="s">
        <v>752</v>
      </c>
      <c r="F79" s="75" t="s">
        <v>753</v>
      </c>
      <c r="G79" s="76" t="s">
        <v>578</v>
      </c>
      <c r="H79" s="77">
        <v>2</v>
      </c>
      <c r="I79" s="78"/>
      <c r="J79" s="77">
        <v>0</v>
      </c>
      <c r="K79" s="62" t="str">
        <f t="shared" si="31"/>
        <v/>
      </c>
      <c r="L79" s="63" t="str">
        <f t="shared" si="32"/>
        <v/>
      </c>
      <c r="M79" s="64"/>
      <c r="N79" s="65">
        <f t="shared" si="33"/>
        <v>0</v>
      </c>
      <c r="O79" s="64"/>
      <c r="P79" s="65">
        <f t="shared" si="34"/>
        <v>0</v>
      </c>
      <c r="Q79" s="66"/>
      <c r="R79" s="65">
        <f t="shared" si="35"/>
        <v>0</v>
      </c>
      <c r="S79" s="67"/>
      <c r="T79" s="65">
        <f t="shared" si="36"/>
        <v>0</v>
      </c>
      <c r="U79" s="67"/>
      <c r="V79" s="65">
        <f t="shared" si="37"/>
        <v>0</v>
      </c>
      <c r="W79" s="67"/>
      <c r="X79" s="65">
        <f t="shared" si="38"/>
        <v>0</v>
      </c>
      <c r="Y79" s="67"/>
      <c r="Z79" s="65">
        <f t="shared" si="39"/>
        <v>0</v>
      </c>
      <c r="AA79" s="67"/>
      <c r="AB79" s="65">
        <f t="shared" si="40"/>
        <v>0</v>
      </c>
      <c r="AC79" s="67"/>
      <c r="AD79" s="65">
        <f t="shared" si="41"/>
        <v>0</v>
      </c>
      <c r="AE79" s="67"/>
      <c r="AF79" s="65">
        <f t="shared" si="42"/>
        <v>0</v>
      </c>
      <c r="AG79" s="67"/>
      <c r="AH79" s="65">
        <f t="shared" si="43"/>
        <v>0</v>
      </c>
      <c r="AI79" s="67"/>
      <c r="AJ79" s="65">
        <f t="shared" si="44"/>
        <v>0</v>
      </c>
      <c r="AK79" s="67"/>
      <c r="AL79" s="65">
        <f t="shared" si="45"/>
        <v>0</v>
      </c>
      <c r="AM79" s="67"/>
      <c r="AN79" s="65">
        <f t="shared" si="46"/>
        <v>0</v>
      </c>
      <c r="AO79" s="67"/>
      <c r="AP79" s="65">
        <f t="shared" si="47"/>
        <v>0</v>
      </c>
      <c r="AQ79" s="67"/>
      <c r="AR79" s="65">
        <f t="shared" si="48"/>
        <v>0</v>
      </c>
      <c r="AS79" s="67"/>
      <c r="AT79" s="65">
        <f t="shared" si="49"/>
        <v>0</v>
      </c>
      <c r="AU79" s="67"/>
      <c r="AV79" s="65">
        <f t="shared" si="50"/>
        <v>0</v>
      </c>
      <c r="AW79" s="67"/>
      <c r="AX79" s="65">
        <f t="shared" si="51"/>
        <v>0</v>
      </c>
      <c r="AY79" s="67"/>
      <c r="AZ79" s="65">
        <f t="shared" si="52"/>
        <v>0</v>
      </c>
      <c r="BA79" s="67"/>
      <c r="BB79" s="65">
        <f t="shared" si="53"/>
        <v>0</v>
      </c>
      <c r="BC79" s="67"/>
      <c r="BD79" s="65">
        <f t="shared" si="54"/>
        <v>0</v>
      </c>
      <c r="BE79" s="67"/>
      <c r="BF79" s="65">
        <f t="shared" si="55"/>
        <v>0</v>
      </c>
      <c r="BG79" s="68">
        <f t="shared" si="56"/>
        <v>0</v>
      </c>
      <c r="BH79" s="69">
        <f t="shared" si="57"/>
        <v>0</v>
      </c>
      <c r="BI79" s="70">
        <f t="shared" ref="BI79:BI91" si="60">IFERROR(IF($J79=0,0,BH79/$J79),"")</f>
        <v>0</v>
      </c>
      <c r="BJ79" s="71">
        <f t="shared" si="58"/>
        <v>2</v>
      </c>
      <c r="BK79" s="72">
        <f t="shared" si="59"/>
        <v>0</v>
      </c>
      <c r="BL79" s="179">
        <f t="shared" ref="BL79:BL91" si="61">IFERROR(IF($J79=0,0,BK79/$J79),"")</f>
        <v>0</v>
      </c>
    </row>
    <row r="80" spans="2:64" s="121" customFormat="1" ht="16.5" customHeight="1" x14ac:dyDescent="0.2">
      <c r="B80" s="120"/>
      <c r="C80" s="73" t="s">
        <v>298</v>
      </c>
      <c r="D80" s="73" t="s">
        <v>209</v>
      </c>
      <c r="E80" s="74" t="s">
        <v>754</v>
      </c>
      <c r="F80" s="75" t="s">
        <v>755</v>
      </c>
      <c r="G80" s="76" t="s">
        <v>578</v>
      </c>
      <c r="H80" s="77">
        <v>1</v>
      </c>
      <c r="I80" s="78"/>
      <c r="J80" s="77">
        <v>0</v>
      </c>
      <c r="K80" s="62" t="str">
        <f t="shared" si="31"/>
        <v/>
      </c>
      <c r="L80" s="63" t="str">
        <f t="shared" si="32"/>
        <v/>
      </c>
      <c r="M80" s="64"/>
      <c r="N80" s="65">
        <f t="shared" si="33"/>
        <v>0</v>
      </c>
      <c r="O80" s="64"/>
      <c r="P80" s="65">
        <f t="shared" si="34"/>
        <v>0</v>
      </c>
      <c r="Q80" s="66"/>
      <c r="R80" s="65">
        <f t="shared" si="35"/>
        <v>0</v>
      </c>
      <c r="S80" s="67"/>
      <c r="T80" s="65">
        <f t="shared" si="36"/>
        <v>0</v>
      </c>
      <c r="U80" s="67"/>
      <c r="V80" s="65">
        <f t="shared" si="37"/>
        <v>0</v>
      </c>
      <c r="W80" s="67"/>
      <c r="X80" s="65">
        <f t="shared" si="38"/>
        <v>0</v>
      </c>
      <c r="Y80" s="67"/>
      <c r="Z80" s="65">
        <f t="shared" si="39"/>
        <v>0</v>
      </c>
      <c r="AA80" s="67"/>
      <c r="AB80" s="65">
        <f t="shared" si="40"/>
        <v>0</v>
      </c>
      <c r="AC80" s="67"/>
      <c r="AD80" s="65">
        <f t="shared" si="41"/>
        <v>0</v>
      </c>
      <c r="AE80" s="67"/>
      <c r="AF80" s="65">
        <f t="shared" si="42"/>
        <v>0</v>
      </c>
      <c r="AG80" s="67"/>
      <c r="AH80" s="65">
        <f t="shared" si="43"/>
        <v>0</v>
      </c>
      <c r="AI80" s="67"/>
      <c r="AJ80" s="65">
        <f t="shared" si="44"/>
        <v>0</v>
      </c>
      <c r="AK80" s="67"/>
      <c r="AL80" s="65">
        <f t="shared" si="45"/>
        <v>0</v>
      </c>
      <c r="AM80" s="67"/>
      <c r="AN80" s="65">
        <f t="shared" si="46"/>
        <v>0</v>
      </c>
      <c r="AO80" s="67"/>
      <c r="AP80" s="65">
        <f t="shared" si="47"/>
        <v>0</v>
      </c>
      <c r="AQ80" s="67"/>
      <c r="AR80" s="65">
        <f t="shared" si="48"/>
        <v>0</v>
      </c>
      <c r="AS80" s="67"/>
      <c r="AT80" s="65">
        <f t="shared" si="49"/>
        <v>0</v>
      </c>
      <c r="AU80" s="67"/>
      <c r="AV80" s="65">
        <f t="shared" si="50"/>
        <v>0</v>
      </c>
      <c r="AW80" s="67"/>
      <c r="AX80" s="65">
        <f t="shared" si="51"/>
        <v>0</v>
      </c>
      <c r="AY80" s="67"/>
      <c r="AZ80" s="65">
        <f t="shared" si="52"/>
        <v>0</v>
      </c>
      <c r="BA80" s="67"/>
      <c r="BB80" s="65">
        <f t="shared" si="53"/>
        <v>0</v>
      </c>
      <c r="BC80" s="67"/>
      <c r="BD80" s="65">
        <f t="shared" si="54"/>
        <v>0</v>
      </c>
      <c r="BE80" s="67"/>
      <c r="BF80" s="65">
        <f t="shared" si="55"/>
        <v>0</v>
      </c>
      <c r="BG80" s="68">
        <f t="shared" si="56"/>
        <v>0</v>
      </c>
      <c r="BH80" s="69">
        <f t="shared" si="57"/>
        <v>0</v>
      </c>
      <c r="BI80" s="70">
        <f t="shared" si="60"/>
        <v>0</v>
      </c>
      <c r="BJ80" s="71">
        <f t="shared" si="58"/>
        <v>1</v>
      </c>
      <c r="BK80" s="72">
        <f t="shared" si="59"/>
        <v>0</v>
      </c>
      <c r="BL80" s="179">
        <f t="shared" si="61"/>
        <v>0</v>
      </c>
    </row>
    <row r="81" spans="2:64" s="121" customFormat="1" ht="16.5" customHeight="1" x14ac:dyDescent="0.2">
      <c r="B81" s="120"/>
      <c r="C81" s="73" t="s">
        <v>301</v>
      </c>
      <c r="D81" s="73" t="s">
        <v>209</v>
      </c>
      <c r="E81" s="74" t="s">
        <v>756</v>
      </c>
      <c r="F81" s="75" t="s">
        <v>757</v>
      </c>
      <c r="G81" s="76" t="s">
        <v>578</v>
      </c>
      <c r="H81" s="77">
        <v>1</v>
      </c>
      <c r="I81" s="78"/>
      <c r="J81" s="77">
        <v>0</v>
      </c>
      <c r="K81" s="62" t="str">
        <f t="shared" si="31"/>
        <v/>
      </c>
      <c r="L81" s="63" t="str">
        <f t="shared" si="32"/>
        <v/>
      </c>
      <c r="M81" s="64"/>
      <c r="N81" s="65">
        <f t="shared" si="33"/>
        <v>0</v>
      </c>
      <c r="O81" s="64"/>
      <c r="P81" s="65">
        <f t="shared" si="34"/>
        <v>0</v>
      </c>
      <c r="Q81" s="66"/>
      <c r="R81" s="65">
        <f t="shared" si="35"/>
        <v>0</v>
      </c>
      <c r="S81" s="67"/>
      <c r="T81" s="65">
        <f t="shared" si="36"/>
        <v>0</v>
      </c>
      <c r="U81" s="67"/>
      <c r="V81" s="65">
        <f t="shared" si="37"/>
        <v>0</v>
      </c>
      <c r="W81" s="67"/>
      <c r="X81" s="65">
        <f t="shared" si="38"/>
        <v>0</v>
      </c>
      <c r="Y81" s="67"/>
      <c r="Z81" s="65">
        <f t="shared" si="39"/>
        <v>0</v>
      </c>
      <c r="AA81" s="67"/>
      <c r="AB81" s="65">
        <f t="shared" si="40"/>
        <v>0</v>
      </c>
      <c r="AC81" s="67"/>
      <c r="AD81" s="65">
        <f t="shared" si="41"/>
        <v>0</v>
      </c>
      <c r="AE81" s="67"/>
      <c r="AF81" s="65">
        <f t="shared" si="42"/>
        <v>0</v>
      </c>
      <c r="AG81" s="67"/>
      <c r="AH81" s="65">
        <f t="shared" si="43"/>
        <v>0</v>
      </c>
      <c r="AI81" s="67"/>
      <c r="AJ81" s="65">
        <f t="shared" si="44"/>
        <v>0</v>
      </c>
      <c r="AK81" s="67"/>
      <c r="AL81" s="65">
        <f t="shared" si="45"/>
        <v>0</v>
      </c>
      <c r="AM81" s="67"/>
      <c r="AN81" s="65">
        <f t="shared" si="46"/>
        <v>0</v>
      </c>
      <c r="AO81" s="67"/>
      <c r="AP81" s="65">
        <f t="shared" si="47"/>
        <v>0</v>
      </c>
      <c r="AQ81" s="67"/>
      <c r="AR81" s="65">
        <f t="shared" si="48"/>
        <v>0</v>
      </c>
      <c r="AS81" s="67"/>
      <c r="AT81" s="65">
        <f t="shared" si="49"/>
        <v>0</v>
      </c>
      <c r="AU81" s="67"/>
      <c r="AV81" s="65">
        <f t="shared" si="50"/>
        <v>0</v>
      </c>
      <c r="AW81" s="67"/>
      <c r="AX81" s="65">
        <f t="shared" si="51"/>
        <v>0</v>
      </c>
      <c r="AY81" s="67"/>
      <c r="AZ81" s="65">
        <f t="shared" si="52"/>
        <v>0</v>
      </c>
      <c r="BA81" s="67"/>
      <c r="BB81" s="65">
        <f t="shared" si="53"/>
        <v>0</v>
      </c>
      <c r="BC81" s="67"/>
      <c r="BD81" s="65">
        <f t="shared" si="54"/>
        <v>0</v>
      </c>
      <c r="BE81" s="67"/>
      <c r="BF81" s="65">
        <f t="shared" si="55"/>
        <v>0</v>
      </c>
      <c r="BG81" s="68">
        <f t="shared" si="56"/>
        <v>0</v>
      </c>
      <c r="BH81" s="69">
        <f t="shared" si="57"/>
        <v>0</v>
      </c>
      <c r="BI81" s="70">
        <f t="shared" si="60"/>
        <v>0</v>
      </c>
      <c r="BJ81" s="71">
        <f t="shared" si="58"/>
        <v>1</v>
      </c>
      <c r="BK81" s="72">
        <f t="shared" si="59"/>
        <v>0</v>
      </c>
      <c r="BL81" s="179">
        <f t="shared" si="61"/>
        <v>0</v>
      </c>
    </row>
    <row r="82" spans="2:64" s="121" customFormat="1" ht="16.5" customHeight="1" x14ac:dyDescent="0.2">
      <c r="B82" s="120"/>
      <c r="C82" s="56" t="s">
        <v>304</v>
      </c>
      <c r="D82" s="56" t="s">
        <v>96</v>
      </c>
      <c r="E82" s="57" t="s">
        <v>727</v>
      </c>
      <c r="F82" s="58" t="s">
        <v>728</v>
      </c>
      <c r="G82" s="59" t="s">
        <v>137</v>
      </c>
      <c r="H82" s="60">
        <v>37.5</v>
      </c>
      <c r="I82" s="61"/>
      <c r="J82" s="60">
        <v>0</v>
      </c>
      <c r="K82" s="62" t="str">
        <f t="shared" si="31"/>
        <v/>
      </c>
      <c r="L82" s="63" t="str">
        <f t="shared" si="32"/>
        <v/>
      </c>
      <c r="M82" s="64"/>
      <c r="N82" s="65">
        <f t="shared" si="33"/>
        <v>0</v>
      </c>
      <c r="O82" s="64"/>
      <c r="P82" s="65">
        <f t="shared" si="34"/>
        <v>0</v>
      </c>
      <c r="Q82" s="66"/>
      <c r="R82" s="65">
        <f t="shared" si="35"/>
        <v>0</v>
      </c>
      <c r="S82" s="67"/>
      <c r="T82" s="65">
        <f t="shared" si="36"/>
        <v>0</v>
      </c>
      <c r="U82" s="67"/>
      <c r="V82" s="65">
        <f t="shared" si="37"/>
        <v>0</v>
      </c>
      <c r="W82" s="67"/>
      <c r="X82" s="65">
        <f t="shared" si="38"/>
        <v>0</v>
      </c>
      <c r="Y82" s="67"/>
      <c r="Z82" s="65">
        <f t="shared" si="39"/>
        <v>0</v>
      </c>
      <c r="AA82" s="67"/>
      <c r="AB82" s="65">
        <f t="shared" si="40"/>
        <v>0</v>
      </c>
      <c r="AC82" s="67"/>
      <c r="AD82" s="65">
        <f t="shared" si="41"/>
        <v>0</v>
      </c>
      <c r="AE82" s="67"/>
      <c r="AF82" s="65">
        <f t="shared" si="42"/>
        <v>0</v>
      </c>
      <c r="AG82" s="67"/>
      <c r="AH82" s="65">
        <f t="shared" si="43"/>
        <v>0</v>
      </c>
      <c r="AI82" s="67"/>
      <c r="AJ82" s="65">
        <f t="shared" si="44"/>
        <v>0</v>
      </c>
      <c r="AK82" s="67"/>
      <c r="AL82" s="65">
        <f t="shared" si="45"/>
        <v>0</v>
      </c>
      <c r="AM82" s="67"/>
      <c r="AN82" s="65">
        <f t="shared" si="46"/>
        <v>0</v>
      </c>
      <c r="AO82" s="67"/>
      <c r="AP82" s="65">
        <f t="shared" si="47"/>
        <v>0</v>
      </c>
      <c r="AQ82" s="67"/>
      <c r="AR82" s="65">
        <f t="shared" si="48"/>
        <v>0</v>
      </c>
      <c r="AS82" s="67"/>
      <c r="AT82" s="65">
        <f t="shared" si="49"/>
        <v>0</v>
      </c>
      <c r="AU82" s="67"/>
      <c r="AV82" s="65">
        <f t="shared" si="50"/>
        <v>0</v>
      </c>
      <c r="AW82" s="67"/>
      <c r="AX82" s="65">
        <f t="shared" si="51"/>
        <v>0</v>
      </c>
      <c r="AY82" s="67"/>
      <c r="AZ82" s="65">
        <f t="shared" si="52"/>
        <v>0</v>
      </c>
      <c r="BA82" s="67"/>
      <c r="BB82" s="65">
        <f t="shared" si="53"/>
        <v>0</v>
      </c>
      <c r="BC82" s="67"/>
      <c r="BD82" s="65">
        <f t="shared" si="54"/>
        <v>0</v>
      </c>
      <c r="BE82" s="67"/>
      <c r="BF82" s="65">
        <f t="shared" si="55"/>
        <v>0</v>
      </c>
      <c r="BG82" s="68">
        <f t="shared" si="56"/>
        <v>0</v>
      </c>
      <c r="BH82" s="69">
        <f t="shared" si="57"/>
        <v>0</v>
      </c>
      <c r="BI82" s="70">
        <f t="shared" si="60"/>
        <v>0</v>
      </c>
      <c r="BJ82" s="71">
        <f t="shared" si="58"/>
        <v>37.5</v>
      </c>
      <c r="BK82" s="72">
        <f t="shared" si="59"/>
        <v>0</v>
      </c>
      <c r="BL82" s="179">
        <f t="shared" si="61"/>
        <v>0</v>
      </c>
    </row>
    <row r="83" spans="2:64" s="121" customFormat="1" ht="16.5" customHeight="1" x14ac:dyDescent="0.2">
      <c r="B83" s="120"/>
      <c r="C83" s="56" t="s">
        <v>307</v>
      </c>
      <c r="D83" s="56" t="s">
        <v>96</v>
      </c>
      <c r="E83" s="57" t="s">
        <v>729</v>
      </c>
      <c r="F83" s="58" t="s">
        <v>730</v>
      </c>
      <c r="G83" s="59" t="s">
        <v>731</v>
      </c>
      <c r="H83" s="60">
        <v>220</v>
      </c>
      <c r="I83" s="61"/>
      <c r="J83" s="60">
        <v>0</v>
      </c>
      <c r="K83" s="62" t="str">
        <f t="shared" si="31"/>
        <v/>
      </c>
      <c r="L83" s="63" t="str">
        <f t="shared" si="32"/>
        <v/>
      </c>
      <c r="M83" s="64"/>
      <c r="N83" s="65">
        <f t="shared" si="33"/>
        <v>0</v>
      </c>
      <c r="O83" s="64"/>
      <c r="P83" s="65">
        <f t="shared" si="34"/>
        <v>0</v>
      </c>
      <c r="Q83" s="66"/>
      <c r="R83" s="65">
        <f t="shared" si="35"/>
        <v>0</v>
      </c>
      <c r="S83" s="67"/>
      <c r="T83" s="65">
        <f t="shared" si="36"/>
        <v>0</v>
      </c>
      <c r="U83" s="67"/>
      <c r="V83" s="65">
        <f t="shared" si="37"/>
        <v>0</v>
      </c>
      <c r="W83" s="67"/>
      <c r="X83" s="65">
        <f t="shared" si="38"/>
        <v>0</v>
      </c>
      <c r="Y83" s="67"/>
      <c r="Z83" s="65">
        <f t="shared" si="39"/>
        <v>0</v>
      </c>
      <c r="AA83" s="67"/>
      <c r="AB83" s="65">
        <f t="shared" si="40"/>
        <v>0</v>
      </c>
      <c r="AC83" s="67"/>
      <c r="AD83" s="65">
        <f t="shared" si="41"/>
        <v>0</v>
      </c>
      <c r="AE83" s="67"/>
      <c r="AF83" s="65">
        <f t="shared" si="42"/>
        <v>0</v>
      </c>
      <c r="AG83" s="67"/>
      <c r="AH83" s="65">
        <f t="shared" si="43"/>
        <v>0</v>
      </c>
      <c r="AI83" s="67"/>
      <c r="AJ83" s="65">
        <f t="shared" si="44"/>
        <v>0</v>
      </c>
      <c r="AK83" s="67"/>
      <c r="AL83" s="65">
        <f t="shared" si="45"/>
        <v>0</v>
      </c>
      <c r="AM83" s="67"/>
      <c r="AN83" s="65">
        <f t="shared" si="46"/>
        <v>0</v>
      </c>
      <c r="AO83" s="67"/>
      <c r="AP83" s="65">
        <f t="shared" si="47"/>
        <v>0</v>
      </c>
      <c r="AQ83" s="67"/>
      <c r="AR83" s="65">
        <f t="shared" si="48"/>
        <v>0</v>
      </c>
      <c r="AS83" s="67"/>
      <c r="AT83" s="65">
        <f t="shared" si="49"/>
        <v>0</v>
      </c>
      <c r="AU83" s="67"/>
      <c r="AV83" s="65">
        <f t="shared" si="50"/>
        <v>0</v>
      </c>
      <c r="AW83" s="67"/>
      <c r="AX83" s="65">
        <f t="shared" si="51"/>
        <v>0</v>
      </c>
      <c r="AY83" s="67"/>
      <c r="AZ83" s="65">
        <f t="shared" si="52"/>
        <v>0</v>
      </c>
      <c r="BA83" s="67"/>
      <c r="BB83" s="65">
        <f t="shared" si="53"/>
        <v>0</v>
      </c>
      <c r="BC83" s="67"/>
      <c r="BD83" s="65">
        <f t="shared" si="54"/>
        <v>0</v>
      </c>
      <c r="BE83" s="67"/>
      <c r="BF83" s="65">
        <f t="shared" si="55"/>
        <v>0</v>
      </c>
      <c r="BG83" s="68">
        <f t="shared" si="56"/>
        <v>0</v>
      </c>
      <c r="BH83" s="69">
        <f t="shared" si="57"/>
        <v>0</v>
      </c>
      <c r="BI83" s="70">
        <f t="shared" si="60"/>
        <v>0</v>
      </c>
      <c r="BJ83" s="71">
        <f t="shared" si="58"/>
        <v>220</v>
      </c>
      <c r="BK83" s="72">
        <f t="shared" si="59"/>
        <v>0</v>
      </c>
      <c r="BL83" s="179">
        <f t="shared" si="61"/>
        <v>0</v>
      </c>
    </row>
    <row r="84" spans="2:64" s="121" customFormat="1" ht="16.5" customHeight="1" x14ac:dyDescent="0.2">
      <c r="B84" s="120"/>
      <c r="C84" s="56" t="s">
        <v>310</v>
      </c>
      <c r="D84" s="56" t="s">
        <v>96</v>
      </c>
      <c r="E84" s="57" t="s">
        <v>732</v>
      </c>
      <c r="F84" s="58" t="s">
        <v>733</v>
      </c>
      <c r="G84" s="59" t="s">
        <v>578</v>
      </c>
      <c r="H84" s="60">
        <v>1</v>
      </c>
      <c r="I84" s="61"/>
      <c r="J84" s="60">
        <v>0</v>
      </c>
      <c r="K84" s="62" t="str">
        <f t="shared" si="31"/>
        <v/>
      </c>
      <c r="L84" s="63" t="str">
        <f t="shared" si="32"/>
        <v/>
      </c>
      <c r="M84" s="64"/>
      <c r="N84" s="65">
        <f t="shared" si="33"/>
        <v>0</v>
      </c>
      <c r="O84" s="64"/>
      <c r="P84" s="65">
        <f t="shared" si="34"/>
        <v>0</v>
      </c>
      <c r="Q84" s="66"/>
      <c r="R84" s="65">
        <f t="shared" si="35"/>
        <v>0</v>
      </c>
      <c r="S84" s="67"/>
      <c r="T84" s="65">
        <f t="shared" si="36"/>
        <v>0</v>
      </c>
      <c r="U84" s="67"/>
      <c r="V84" s="65">
        <f t="shared" si="37"/>
        <v>0</v>
      </c>
      <c r="W84" s="67"/>
      <c r="X84" s="65">
        <f t="shared" si="38"/>
        <v>0</v>
      </c>
      <c r="Y84" s="67"/>
      <c r="Z84" s="65">
        <f t="shared" si="39"/>
        <v>0</v>
      </c>
      <c r="AA84" s="67"/>
      <c r="AB84" s="65">
        <f t="shared" si="40"/>
        <v>0</v>
      </c>
      <c r="AC84" s="67"/>
      <c r="AD84" s="65">
        <f t="shared" si="41"/>
        <v>0</v>
      </c>
      <c r="AE84" s="67"/>
      <c r="AF84" s="65">
        <f t="shared" si="42"/>
        <v>0</v>
      </c>
      <c r="AG84" s="67"/>
      <c r="AH84" s="65">
        <f t="shared" si="43"/>
        <v>0</v>
      </c>
      <c r="AI84" s="67"/>
      <c r="AJ84" s="65">
        <f t="shared" si="44"/>
        <v>0</v>
      </c>
      <c r="AK84" s="67"/>
      <c r="AL84" s="65">
        <f t="shared" si="45"/>
        <v>0</v>
      </c>
      <c r="AM84" s="67"/>
      <c r="AN84" s="65">
        <f t="shared" si="46"/>
        <v>0</v>
      </c>
      <c r="AO84" s="67"/>
      <c r="AP84" s="65">
        <f t="shared" si="47"/>
        <v>0</v>
      </c>
      <c r="AQ84" s="67"/>
      <c r="AR84" s="65">
        <f t="shared" si="48"/>
        <v>0</v>
      </c>
      <c r="AS84" s="67"/>
      <c r="AT84" s="65">
        <f t="shared" si="49"/>
        <v>0</v>
      </c>
      <c r="AU84" s="67"/>
      <c r="AV84" s="65">
        <f t="shared" si="50"/>
        <v>0</v>
      </c>
      <c r="AW84" s="67"/>
      <c r="AX84" s="65">
        <f t="shared" si="51"/>
        <v>0</v>
      </c>
      <c r="AY84" s="67"/>
      <c r="AZ84" s="65">
        <f t="shared" si="52"/>
        <v>0</v>
      </c>
      <c r="BA84" s="67"/>
      <c r="BB84" s="65">
        <f t="shared" si="53"/>
        <v>0</v>
      </c>
      <c r="BC84" s="67"/>
      <c r="BD84" s="65">
        <f t="shared" si="54"/>
        <v>0</v>
      </c>
      <c r="BE84" s="67"/>
      <c r="BF84" s="65">
        <f t="shared" si="55"/>
        <v>0</v>
      </c>
      <c r="BG84" s="68">
        <f t="shared" si="56"/>
        <v>0</v>
      </c>
      <c r="BH84" s="69">
        <f t="shared" si="57"/>
        <v>0</v>
      </c>
      <c r="BI84" s="70">
        <f t="shared" si="60"/>
        <v>0</v>
      </c>
      <c r="BJ84" s="71">
        <f t="shared" si="58"/>
        <v>1</v>
      </c>
      <c r="BK84" s="72">
        <f t="shared" si="59"/>
        <v>0</v>
      </c>
      <c r="BL84" s="179">
        <f t="shared" si="61"/>
        <v>0</v>
      </c>
    </row>
    <row r="85" spans="2:64" s="170" customFormat="1" ht="25.9" customHeight="1" x14ac:dyDescent="0.2">
      <c r="B85" s="165"/>
      <c r="C85" s="79"/>
      <c r="D85" s="80" t="s">
        <v>4</v>
      </c>
      <c r="E85" s="84" t="s">
        <v>758</v>
      </c>
      <c r="F85" s="84" t="s">
        <v>759</v>
      </c>
      <c r="G85" s="79"/>
      <c r="H85" s="79"/>
      <c r="I85" s="82"/>
      <c r="J85" s="85">
        <f>+SUBTOTAL(9,J86:J91)</f>
        <v>0</v>
      </c>
      <c r="K85" s="62" t="str">
        <f t="shared" si="31"/>
        <v/>
      </c>
      <c r="L85" s="63" t="str">
        <f t="shared" si="32"/>
        <v/>
      </c>
      <c r="M85" s="64"/>
      <c r="N85" s="65" t="str">
        <f t="shared" si="33"/>
        <v/>
      </c>
      <c r="O85" s="64"/>
      <c r="P85" s="65" t="str">
        <f t="shared" si="34"/>
        <v/>
      </c>
      <c r="Q85" s="66"/>
      <c r="R85" s="65" t="str">
        <f t="shared" si="35"/>
        <v/>
      </c>
      <c r="S85" s="67"/>
      <c r="T85" s="65" t="str">
        <f t="shared" si="36"/>
        <v/>
      </c>
      <c r="U85" s="67"/>
      <c r="V85" s="65" t="str">
        <f t="shared" si="37"/>
        <v/>
      </c>
      <c r="W85" s="67"/>
      <c r="X85" s="65" t="str">
        <f t="shared" si="38"/>
        <v/>
      </c>
      <c r="Y85" s="67"/>
      <c r="Z85" s="65" t="str">
        <f t="shared" si="39"/>
        <v/>
      </c>
      <c r="AA85" s="67"/>
      <c r="AB85" s="65" t="str">
        <f t="shared" si="40"/>
        <v/>
      </c>
      <c r="AC85" s="67"/>
      <c r="AD85" s="65" t="str">
        <f t="shared" si="41"/>
        <v/>
      </c>
      <c r="AE85" s="67"/>
      <c r="AF85" s="65" t="str">
        <f t="shared" si="42"/>
        <v/>
      </c>
      <c r="AG85" s="67"/>
      <c r="AH85" s="65" t="str">
        <f t="shared" si="43"/>
        <v/>
      </c>
      <c r="AI85" s="67"/>
      <c r="AJ85" s="65" t="str">
        <f t="shared" si="44"/>
        <v/>
      </c>
      <c r="AK85" s="67"/>
      <c r="AL85" s="65" t="str">
        <f t="shared" si="45"/>
        <v/>
      </c>
      <c r="AM85" s="67"/>
      <c r="AN85" s="65" t="str">
        <f t="shared" si="46"/>
        <v/>
      </c>
      <c r="AO85" s="67"/>
      <c r="AP85" s="65" t="str">
        <f t="shared" si="47"/>
        <v/>
      </c>
      <c r="AQ85" s="67"/>
      <c r="AR85" s="65" t="str">
        <f t="shared" si="48"/>
        <v/>
      </c>
      <c r="AS85" s="67"/>
      <c r="AT85" s="65" t="str">
        <f t="shared" si="49"/>
        <v/>
      </c>
      <c r="AU85" s="67"/>
      <c r="AV85" s="65" t="str">
        <f t="shared" si="50"/>
        <v/>
      </c>
      <c r="AW85" s="67"/>
      <c r="AX85" s="65" t="str">
        <f t="shared" si="51"/>
        <v/>
      </c>
      <c r="AY85" s="67"/>
      <c r="AZ85" s="65" t="str">
        <f t="shared" si="52"/>
        <v/>
      </c>
      <c r="BA85" s="67"/>
      <c r="BB85" s="65" t="str">
        <f t="shared" si="53"/>
        <v/>
      </c>
      <c r="BC85" s="67"/>
      <c r="BD85" s="65" t="str">
        <f t="shared" si="54"/>
        <v/>
      </c>
      <c r="BE85" s="67"/>
      <c r="BF85" s="65" t="str">
        <f t="shared" si="55"/>
        <v/>
      </c>
      <c r="BG85" s="68" t="str">
        <f t="shared" si="56"/>
        <v/>
      </c>
      <c r="BH85" s="69" t="str">
        <f t="shared" si="57"/>
        <v/>
      </c>
      <c r="BI85" s="70">
        <f t="shared" si="60"/>
        <v>0</v>
      </c>
      <c r="BJ85" s="71" t="str">
        <f t="shared" si="58"/>
        <v/>
      </c>
      <c r="BK85" s="72" t="str">
        <f t="shared" si="59"/>
        <v/>
      </c>
      <c r="BL85" s="179">
        <f t="shared" si="61"/>
        <v>0</v>
      </c>
    </row>
    <row r="86" spans="2:64" s="121" customFormat="1" ht="16.5" customHeight="1" x14ac:dyDescent="0.2">
      <c r="B86" s="120"/>
      <c r="C86" s="73" t="s">
        <v>313</v>
      </c>
      <c r="D86" s="73" t="s">
        <v>209</v>
      </c>
      <c r="E86" s="74" t="s">
        <v>760</v>
      </c>
      <c r="F86" s="75" t="s">
        <v>761</v>
      </c>
      <c r="G86" s="76" t="s">
        <v>578</v>
      </c>
      <c r="H86" s="77">
        <v>1</v>
      </c>
      <c r="I86" s="78"/>
      <c r="J86" s="77">
        <v>0</v>
      </c>
      <c r="K86" s="62" t="str">
        <f t="shared" si="31"/>
        <v/>
      </c>
      <c r="L86" s="63" t="str">
        <f t="shared" si="32"/>
        <v/>
      </c>
      <c r="M86" s="64"/>
      <c r="N86" s="65">
        <f t="shared" si="33"/>
        <v>0</v>
      </c>
      <c r="O86" s="64"/>
      <c r="P86" s="65">
        <f t="shared" si="34"/>
        <v>0</v>
      </c>
      <c r="Q86" s="66"/>
      <c r="R86" s="65">
        <f t="shared" si="35"/>
        <v>0</v>
      </c>
      <c r="S86" s="67"/>
      <c r="T86" s="65">
        <f t="shared" si="36"/>
        <v>0</v>
      </c>
      <c r="U86" s="67"/>
      <c r="V86" s="65">
        <f t="shared" si="37"/>
        <v>0</v>
      </c>
      <c r="W86" s="67"/>
      <c r="X86" s="65">
        <f t="shared" si="38"/>
        <v>0</v>
      </c>
      <c r="Y86" s="67"/>
      <c r="Z86" s="65">
        <f t="shared" si="39"/>
        <v>0</v>
      </c>
      <c r="AA86" s="67"/>
      <c r="AB86" s="65">
        <f t="shared" si="40"/>
        <v>0</v>
      </c>
      <c r="AC86" s="67"/>
      <c r="AD86" s="65">
        <f t="shared" si="41"/>
        <v>0</v>
      </c>
      <c r="AE86" s="67"/>
      <c r="AF86" s="65">
        <f t="shared" si="42"/>
        <v>0</v>
      </c>
      <c r="AG86" s="67"/>
      <c r="AH86" s="65">
        <f t="shared" si="43"/>
        <v>0</v>
      </c>
      <c r="AI86" s="67"/>
      <c r="AJ86" s="65">
        <f t="shared" si="44"/>
        <v>0</v>
      </c>
      <c r="AK86" s="67"/>
      <c r="AL86" s="65">
        <f t="shared" si="45"/>
        <v>0</v>
      </c>
      <c r="AM86" s="67"/>
      <c r="AN86" s="65">
        <f t="shared" si="46"/>
        <v>0</v>
      </c>
      <c r="AO86" s="67"/>
      <c r="AP86" s="65">
        <f t="shared" si="47"/>
        <v>0</v>
      </c>
      <c r="AQ86" s="67"/>
      <c r="AR86" s="65">
        <f t="shared" si="48"/>
        <v>0</v>
      </c>
      <c r="AS86" s="67"/>
      <c r="AT86" s="65">
        <f t="shared" si="49"/>
        <v>0</v>
      </c>
      <c r="AU86" s="67"/>
      <c r="AV86" s="65">
        <f t="shared" si="50"/>
        <v>0</v>
      </c>
      <c r="AW86" s="67"/>
      <c r="AX86" s="65">
        <f t="shared" si="51"/>
        <v>0</v>
      </c>
      <c r="AY86" s="67"/>
      <c r="AZ86" s="65">
        <f t="shared" si="52"/>
        <v>0</v>
      </c>
      <c r="BA86" s="67"/>
      <c r="BB86" s="65">
        <f t="shared" si="53"/>
        <v>0</v>
      </c>
      <c r="BC86" s="67"/>
      <c r="BD86" s="65">
        <f t="shared" si="54"/>
        <v>0</v>
      </c>
      <c r="BE86" s="67"/>
      <c r="BF86" s="65">
        <f t="shared" si="55"/>
        <v>0</v>
      </c>
      <c r="BG86" s="68">
        <f t="shared" si="56"/>
        <v>0</v>
      </c>
      <c r="BH86" s="69">
        <f t="shared" si="57"/>
        <v>0</v>
      </c>
      <c r="BI86" s="70">
        <f t="shared" si="60"/>
        <v>0</v>
      </c>
      <c r="BJ86" s="71">
        <f t="shared" si="58"/>
        <v>1</v>
      </c>
      <c r="BK86" s="72">
        <f t="shared" si="59"/>
        <v>0</v>
      </c>
      <c r="BL86" s="179">
        <f t="shared" si="61"/>
        <v>0</v>
      </c>
    </row>
    <row r="87" spans="2:64" s="121" customFormat="1" ht="16.5" customHeight="1" x14ac:dyDescent="0.2">
      <c r="B87" s="120"/>
      <c r="C87" s="73" t="s">
        <v>316</v>
      </c>
      <c r="D87" s="73" t="s">
        <v>209</v>
      </c>
      <c r="E87" s="74" t="s">
        <v>762</v>
      </c>
      <c r="F87" s="75" t="s">
        <v>763</v>
      </c>
      <c r="G87" s="76" t="s">
        <v>578</v>
      </c>
      <c r="H87" s="77">
        <v>1</v>
      </c>
      <c r="I87" s="78"/>
      <c r="J87" s="77">
        <v>0</v>
      </c>
      <c r="K87" s="62" t="str">
        <f t="shared" si="31"/>
        <v/>
      </c>
      <c r="L87" s="63" t="str">
        <f t="shared" si="32"/>
        <v/>
      </c>
      <c r="M87" s="64"/>
      <c r="N87" s="65">
        <f t="shared" si="33"/>
        <v>0</v>
      </c>
      <c r="O87" s="64"/>
      <c r="P87" s="65">
        <f t="shared" si="34"/>
        <v>0</v>
      </c>
      <c r="Q87" s="66"/>
      <c r="R87" s="65">
        <f t="shared" si="35"/>
        <v>0</v>
      </c>
      <c r="S87" s="67"/>
      <c r="T87" s="65">
        <f t="shared" si="36"/>
        <v>0</v>
      </c>
      <c r="U87" s="67"/>
      <c r="V87" s="65">
        <f t="shared" si="37"/>
        <v>0</v>
      </c>
      <c r="W87" s="67"/>
      <c r="X87" s="65">
        <f t="shared" si="38"/>
        <v>0</v>
      </c>
      <c r="Y87" s="67"/>
      <c r="Z87" s="65">
        <f t="shared" si="39"/>
        <v>0</v>
      </c>
      <c r="AA87" s="67"/>
      <c r="AB87" s="65">
        <f t="shared" si="40"/>
        <v>0</v>
      </c>
      <c r="AC87" s="67"/>
      <c r="AD87" s="65">
        <f t="shared" si="41"/>
        <v>0</v>
      </c>
      <c r="AE87" s="67"/>
      <c r="AF87" s="65">
        <f t="shared" si="42"/>
        <v>0</v>
      </c>
      <c r="AG87" s="67"/>
      <c r="AH87" s="65">
        <f t="shared" si="43"/>
        <v>0</v>
      </c>
      <c r="AI87" s="67"/>
      <c r="AJ87" s="65">
        <f t="shared" si="44"/>
        <v>0</v>
      </c>
      <c r="AK87" s="67"/>
      <c r="AL87" s="65">
        <f t="shared" si="45"/>
        <v>0</v>
      </c>
      <c r="AM87" s="67"/>
      <c r="AN87" s="65">
        <f t="shared" si="46"/>
        <v>0</v>
      </c>
      <c r="AO87" s="67"/>
      <c r="AP87" s="65">
        <f t="shared" si="47"/>
        <v>0</v>
      </c>
      <c r="AQ87" s="67"/>
      <c r="AR87" s="65">
        <f t="shared" si="48"/>
        <v>0</v>
      </c>
      <c r="AS87" s="67"/>
      <c r="AT87" s="65">
        <f t="shared" si="49"/>
        <v>0</v>
      </c>
      <c r="AU87" s="67"/>
      <c r="AV87" s="65">
        <f t="shared" si="50"/>
        <v>0</v>
      </c>
      <c r="AW87" s="67"/>
      <c r="AX87" s="65">
        <f t="shared" si="51"/>
        <v>0</v>
      </c>
      <c r="AY87" s="67"/>
      <c r="AZ87" s="65">
        <f t="shared" si="52"/>
        <v>0</v>
      </c>
      <c r="BA87" s="67"/>
      <c r="BB87" s="65">
        <f t="shared" si="53"/>
        <v>0</v>
      </c>
      <c r="BC87" s="67"/>
      <c r="BD87" s="65">
        <f t="shared" si="54"/>
        <v>0</v>
      </c>
      <c r="BE87" s="67"/>
      <c r="BF87" s="65">
        <f t="shared" si="55"/>
        <v>0</v>
      </c>
      <c r="BG87" s="68">
        <f t="shared" si="56"/>
        <v>0</v>
      </c>
      <c r="BH87" s="69">
        <f t="shared" si="57"/>
        <v>0</v>
      </c>
      <c r="BI87" s="70">
        <f t="shared" si="60"/>
        <v>0</v>
      </c>
      <c r="BJ87" s="71">
        <f t="shared" si="58"/>
        <v>1</v>
      </c>
      <c r="BK87" s="72">
        <f t="shared" si="59"/>
        <v>0</v>
      </c>
      <c r="BL87" s="179">
        <f t="shared" si="61"/>
        <v>0</v>
      </c>
    </row>
    <row r="88" spans="2:64" s="121" customFormat="1" ht="16.5" customHeight="1" x14ac:dyDescent="0.2">
      <c r="B88" s="120"/>
      <c r="C88" s="73" t="s">
        <v>319</v>
      </c>
      <c r="D88" s="73" t="s">
        <v>209</v>
      </c>
      <c r="E88" s="74" t="s">
        <v>764</v>
      </c>
      <c r="F88" s="75" t="s">
        <v>765</v>
      </c>
      <c r="G88" s="76" t="s">
        <v>578</v>
      </c>
      <c r="H88" s="77">
        <v>1</v>
      </c>
      <c r="I88" s="78"/>
      <c r="J88" s="77">
        <v>0</v>
      </c>
      <c r="K88" s="62" t="str">
        <f t="shared" si="31"/>
        <v/>
      </c>
      <c r="L88" s="63" t="str">
        <f t="shared" si="32"/>
        <v/>
      </c>
      <c r="M88" s="64"/>
      <c r="N88" s="65">
        <f t="shared" si="33"/>
        <v>0</v>
      </c>
      <c r="O88" s="64"/>
      <c r="P88" s="65">
        <f t="shared" si="34"/>
        <v>0</v>
      </c>
      <c r="Q88" s="66"/>
      <c r="R88" s="65">
        <f t="shared" si="35"/>
        <v>0</v>
      </c>
      <c r="S88" s="67"/>
      <c r="T88" s="65">
        <f t="shared" si="36"/>
        <v>0</v>
      </c>
      <c r="U88" s="67"/>
      <c r="V88" s="65">
        <f t="shared" si="37"/>
        <v>0</v>
      </c>
      <c r="W88" s="67"/>
      <c r="X88" s="65">
        <f t="shared" si="38"/>
        <v>0</v>
      </c>
      <c r="Y88" s="67"/>
      <c r="Z88" s="65">
        <f t="shared" si="39"/>
        <v>0</v>
      </c>
      <c r="AA88" s="67"/>
      <c r="AB88" s="65">
        <f t="shared" si="40"/>
        <v>0</v>
      </c>
      <c r="AC88" s="67"/>
      <c r="AD88" s="65">
        <f t="shared" si="41"/>
        <v>0</v>
      </c>
      <c r="AE88" s="67"/>
      <c r="AF88" s="65">
        <f t="shared" si="42"/>
        <v>0</v>
      </c>
      <c r="AG88" s="67"/>
      <c r="AH88" s="65">
        <f t="shared" si="43"/>
        <v>0</v>
      </c>
      <c r="AI88" s="67"/>
      <c r="AJ88" s="65">
        <f t="shared" si="44"/>
        <v>0</v>
      </c>
      <c r="AK88" s="67"/>
      <c r="AL88" s="65">
        <f t="shared" si="45"/>
        <v>0</v>
      </c>
      <c r="AM88" s="67"/>
      <c r="AN88" s="65">
        <f t="shared" si="46"/>
        <v>0</v>
      </c>
      <c r="AO88" s="67"/>
      <c r="AP88" s="65">
        <f t="shared" si="47"/>
        <v>0</v>
      </c>
      <c r="AQ88" s="67"/>
      <c r="AR88" s="65">
        <f t="shared" si="48"/>
        <v>0</v>
      </c>
      <c r="AS88" s="67"/>
      <c r="AT88" s="65">
        <f t="shared" si="49"/>
        <v>0</v>
      </c>
      <c r="AU88" s="67"/>
      <c r="AV88" s="65">
        <f t="shared" si="50"/>
        <v>0</v>
      </c>
      <c r="AW88" s="67"/>
      <c r="AX88" s="65">
        <f t="shared" si="51"/>
        <v>0</v>
      </c>
      <c r="AY88" s="67"/>
      <c r="AZ88" s="65">
        <f t="shared" si="52"/>
        <v>0</v>
      </c>
      <c r="BA88" s="67"/>
      <c r="BB88" s="65">
        <f t="shared" si="53"/>
        <v>0</v>
      </c>
      <c r="BC88" s="67"/>
      <c r="BD88" s="65">
        <f t="shared" si="54"/>
        <v>0</v>
      </c>
      <c r="BE88" s="67"/>
      <c r="BF88" s="65">
        <f t="shared" si="55"/>
        <v>0</v>
      </c>
      <c r="BG88" s="68">
        <f t="shared" si="56"/>
        <v>0</v>
      </c>
      <c r="BH88" s="69">
        <f t="shared" si="57"/>
        <v>0</v>
      </c>
      <c r="BI88" s="70">
        <f t="shared" si="60"/>
        <v>0</v>
      </c>
      <c r="BJ88" s="71">
        <f t="shared" si="58"/>
        <v>1</v>
      </c>
      <c r="BK88" s="72">
        <f t="shared" si="59"/>
        <v>0</v>
      </c>
      <c r="BL88" s="179">
        <f t="shared" si="61"/>
        <v>0</v>
      </c>
    </row>
    <row r="89" spans="2:64" s="121" customFormat="1" ht="16.5" customHeight="1" x14ac:dyDescent="0.2">
      <c r="B89" s="120"/>
      <c r="C89" s="73" t="s">
        <v>322</v>
      </c>
      <c r="D89" s="73" t="s">
        <v>209</v>
      </c>
      <c r="E89" s="74" t="s">
        <v>766</v>
      </c>
      <c r="F89" s="75" t="s">
        <v>757</v>
      </c>
      <c r="G89" s="76" t="s">
        <v>578</v>
      </c>
      <c r="H89" s="77">
        <v>1</v>
      </c>
      <c r="I89" s="78"/>
      <c r="J89" s="77">
        <v>0</v>
      </c>
      <c r="K89" s="62" t="str">
        <f t="shared" si="31"/>
        <v/>
      </c>
      <c r="L89" s="63" t="str">
        <f t="shared" si="32"/>
        <v/>
      </c>
      <c r="M89" s="64"/>
      <c r="N89" s="65">
        <f t="shared" si="33"/>
        <v>0</v>
      </c>
      <c r="O89" s="64"/>
      <c r="P89" s="65">
        <f t="shared" si="34"/>
        <v>0</v>
      </c>
      <c r="Q89" s="66"/>
      <c r="R89" s="65">
        <f t="shared" si="35"/>
        <v>0</v>
      </c>
      <c r="S89" s="67"/>
      <c r="T89" s="65">
        <f t="shared" si="36"/>
        <v>0</v>
      </c>
      <c r="U89" s="67"/>
      <c r="V89" s="65">
        <f t="shared" si="37"/>
        <v>0</v>
      </c>
      <c r="W89" s="67"/>
      <c r="X89" s="65">
        <f t="shared" si="38"/>
        <v>0</v>
      </c>
      <c r="Y89" s="67"/>
      <c r="Z89" s="65">
        <f t="shared" si="39"/>
        <v>0</v>
      </c>
      <c r="AA89" s="67"/>
      <c r="AB89" s="65">
        <f t="shared" si="40"/>
        <v>0</v>
      </c>
      <c r="AC89" s="67"/>
      <c r="AD89" s="65">
        <f t="shared" si="41"/>
        <v>0</v>
      </c>
      <c r="AE89" s="67"/>
      <c r="AF89" s="65">
        <f t="shared" si="42"/>
        <v>0</v>
      </c>
      <c r="AG89" s="67"/>
      <c r="AH89" s="65">
        <f t="shared" si="43"/>
        <v>0</v>
      </c>
      <c r="AI89" s="67"/>
      <c r="AJ89" s="65">
        <f t="shared" si="44"/>
        <v>0</v>
      </c>
      <c r="AK89" s="67"/>
      <c r="AL89" s="65">
        <f t="shared" si="45"/>
        <v>0</v>
      </c>
      <c r="AM89" s="67"/>
      <c r="AN89" s="65">
        <f t="shared" si="46"/>
        <v>0</v>
      </c>
      <c r="AO89" s="67"/>
      <c r="AP89" s="65">
        <f t="shared" si="47"/>
        <v>0</v>
      </c>
      <c r="AQ89" s="67"/>
      <c r="AR89" s="65">
        <f t="shared" si="48"/>
        <v>0</v>
      </c>
      <c r="AS89" s="67"/>
      <c r="AT89" s="65">
        <f t="shared" si="49"/>
        <v>0</v>
      </c>
      <c r="AU89" s="67"/>
      <c r="AV89" s="65">
        <f t="shared" si="50"/>
        <v>0</v>
      </c>
      <c r="AW89" s="67"/>
      <c r="AX89" s="65">
        <f t="shared" si="51"/>
        <v>0</v>
      </c>
      <c r="AY89" s="67"/>
      <c r="AZ89" s="65">
        <f t="shared" si="52"/>
        <v>0</v>
      </c>
      <c r="BA89" s="67"/>
      <c r="BB89" s="65">
        <f t="shared" si="53"/>
        <v>0</v>
      </c>
      <c r="BC89" s="67"/>
      <c r="BD89" s="65">
        <f t="shared" si="54"/>
        <v>0</v>
      </c>
      <c r="BE89" s="67"/>
      <c r="BF89" s="65">
        <f t="shared" si="55"/>
        <v>0</v>
      </c>
      <c r="BG89" s="68">
        <f t="shared" si="56"/>
        <v>0</v>
      </c>
      <c r="BH89" s="69">
        <f t="shared" si="57"/>
        <v>0</v>
      </c>
      <c r="BI89" s="70">
        <f t="shared" si="60"/>
        <v>0</v>
      </c>
      <c r="BJ89" s="71">
        <f t="shared" si="58"/>
        <v>1</v>
      </c>
      <c r="BK89" s="72">
        <f t="shared" si="59"/>
        <v>0</v>
      </c>
      <c r="BL89" s="179">
        <f t="shared" si="61"/>
        <v>0</v>
      </c>
    </row>
    <row r="90" spans="2:64" s="121" customFormat="1" ht="16.5" customHeight="1" x14ac:dyDescent="0.2">
      <c r="B90" s="120"/>
      <c r="C90" s="56" t="s">
        <v>325</v>
      </c>
      <c r="D90" s="56" t="s">
        <v>96</v>
      </c>
      <c r="E90" s="57" t="s">
        <v>727</v>
      </c>
      <c r="F90" s="58" t="s">
        <v>728</v>
      </c>
      <c r="G90" s="59" t="s">
        <v>137</v>
      </c>
      <c r="H90" s="60">
        <v>15</v>
      </c>
      <c r="I90" s="61"/>
      <c r="J90" s="60">
        <v>0</v>
      </c>
      <c r="K90" s="62" t="str">
        <f t="shared" si="31"/>
        <v/>
      </c>
      <c r="L90" s="63" t="str">
        <f t="shared" si="32"/>
        <v/>
      </c>
      <c r="M90" s="64"/>
      <c r="N90" s="65">
        <f t="shared" si="33"/>
        <v>0</v>
      </c>
      <c r="O90" s="64"/>
      <c r="P90" s="65">
        <f t="shared" si="34"/>
        <v>0</v>
      </c>
      <c r="Q90" s="66"/>
      <c r="R90" s="65">
        <f t="shared" si="35"/>
        <v>0</v>
      </c>
      <c r="S90" s="67"/>
      <c r="T90" s="65">
        <f t="shared" si="36"/>
        <v>0</v>
      </c>
      <c r="U90" s="67"/>
      <c r="V90" s="65">
        <f t="shared" si="37"/>
        <v>0</v>
      </c>
      <c r="W90" s="67"/>
      <c r="X90" s="65">
        <f t="shared" si="38"/>
        <v>0</v>
      </c>
      <c r="Y90" s="67"/>
      <c r="Z90" s="65">
        <f t="shared" si="39"/>
        <v>0</v>
      </c>
      <c r="AA90" s="67"/>
      <c r="AB90" s="65">
        <f t="shared" si="40"/>
        <v>0</v>
      </c>
      <c r="AC90" s="67"/>
      <c r="AD90" s="65">
        <f t="shared" si="41"/>
        <v>0</v>
      </c>
      <c r="AE90" s="67"/>
      <c r="AF90" s="65">
        <f t="shared" si="42"/>
        <v>0</v>
      </c>
      <c r="AG90" s="67"/>
      <c r="AH90" s="65">
        <f t="shared" si="43"/>
        <v>0</v>
      </c>
      <c r="AI90" s="67"/>
      <c r="AJ90" s="65">
        <f t="shared" si="44"/>
        <v>0</v>
      </c>
      <c r="AK90" s="67"/>
      <c r="AL90" s="65">
        <f t="shared" si="45"/>
        <v>0</v>
      </c>
      <c r="AM90" s="67"/>
      <c r="AN90" s="65">
        <f t="shared" si="46"/>
        <v>0</v>
      </c>
      <c r="AO90" s="67"/>
      <c r="AP90" s="65">
        <f t="shared" si="47"/>
        <v>0</v>
      </c>
      <c r="AQ90" s="67"/>
      <c r="AR90" s="65">
        <f t="shared" si="48"/>
        <v>0</v>
      </c>
      <c r="AS90" s="67"/>
      <c r="AT90" s="65">
        <f t="shared" si="49"/>
        <v>0</v>
      </c>
      <c r="AU90" s="67"/>
      <c r="AV90" s="65">
        <f t="shared" si="50"/>
        <v>0</v>
      </c>
      <c r="AW90" s="67"/>
      <c r="AX90" s="65">
        <f t="shared" si="51"/>
        <v>0</v>
      </c>
      <c r="AY90" s="67"/>
      <c r="AZ90" s="65">
        <f t="shared" si="52"/>
        <v>0</v>
      </c>
      <c r="BA90" s="67"/>
      <c r="BB90" s="65">
        <f t="shared" si="53"/>
        <v>0</v>
      </c>
      <c r="BC90" s="67"/>
      <c r="BD90" s="65">
        <f t="shared" si="54"/>
        <v>0</v>
      </c>
      <c r="BE90" s="67"/>
      <c r="BF90" s="65">
        <f t="shared" si="55"/>
        <v>0</v>
      </c>
      <c r="BG90" s="68">
        <f t="shared" si="56"/>
        <v>0</v>
      </c>
      <c r="BH90" s="69">
        <f t="shared" si="57"/>
        <v>0</v>
      </c>
      <c r="BI90" s="70">
        <f t="shared" si="60"/>
        <v>0</v>
      </c>
      <c r="BJ90" s="71">
        <f t="shared" si="58"/>
        <v>15</v>
      </c>
      <c r="BK90" s="72">
        <f t="shared" si="59"/>
        <v>0</v>
      </c>
      <c r="BL90" s="179">
        <f t="shared" si="61"/>
        <v>0</v>
      </c>
    </row>
    <row r="91" spans="2:64" s="121" customFormat="1" ht="16.5" customHeight="1" x14ac:dyDescent="0.2">
      <c r="B91" s="120"/>
      <c r="C91" s="56" t="s">
        <v>328</v>
      </c>
      <c r="D91" s="56" t="s">
        <v>96</v>
      </c>
      <c r="E91" s="57" t="s">
        <v>729</v>
      </c>
      <c r="F91" s="58" t="s">
        <v>730</v>
      </c>
      <c r="G91" s="59" t="s">
        <v>731</v>
      </c>
      <c r="H91" s="60">
        <v>30</v>
      </c>
      <c r="I91" s="61"/>
      <c r="J91" s="60">
        <v>0</v>
      </c>
      <c r="K91" s="62" t="str">
        <f t="shared" si="31"/>
        <v/>
      </c>
      <c r="L91" s="63" t="str">
        <f t="shared" si="32"/>
        <v/>
      </c>
      <c r="M91" s="64"/>
      <c r="N91" s="65">
        <f t="shared" si="33"/>
        <v>0</v>
      </c>
      <c r="O91" s="64"/>
      <c r="P91" s="65">
        <f t="shared" si="34"/>
        <v>0</v>
      </c>
      <c r="Q91" s="66"/>
      <c r="R91" s="65">
        <f t="shared" si="35"/>
        <v>0</v>
      </c>
      <c r="S91" s="67"/>
      <c r="T91" s="65">
        <f t="shared" si="36"/>
        <v>0</v>
      </c>
      <c r="U91" s="67"/>
      <c r="V91" s="65">
        <f t="shared" si="37"/>
        <v>0</v>
      </c>
      <c r="W91" s="67"/>
      <c r="X91" s="65">
        <f t="shared" si="38"/>
        <v>0</v>
      </c>
      <c r="Y91" s="67"/>
      <c r="Z91" s="65">
        <f t="shared" si="39"/>
        <v>0</v>
      </c>
      <c r="AA91" s="67"/>
      <c r="AB91" s="65">
        <f t="shared" si="40"/>
        <v>0</v>
      </c>
      <c r="AC91" s="67"/>
      <c r="AD91" s="65">
        <f t="shared" si="41"/>
        <v>0</v>
      </c>
      <c r="AE91" s="67"/>
      <c r="AF91" s="65">
        <f t="shared" si="42"/>
        <v>0</v>
      </c>
      <c r="AG91" s="67"/>
      <c r="AH91" s="65">
        <f t="shared" si="43"/>
        <v>0</v>
      </c>
      <c r="AI91" s="67"/>
      <c r="AJ91" s="65">
        <f t="shared" si="44"/>
        <v>0</v>
      </c>
      <c r="AK91" s="67"/>
      <c r="AL91" s="65">
        <f t="shared" si="45"/>
        <v>0</v>
      </c>
      <c r="AM91" s="67"/>
      <c r="AN91" s="65">
        <f t="shared" si="46"/>
        <v>0</v>
      </c>
      <c r="AO91" s="67"/>
      <c r="AP91" s="65">
        <f t="shared" si="47"/>
        <v>0</v>
      </c>
      <c r="AQ91" s="67"/>
      <c r="AR91" s="65">
        <f t="shared" si="48"/>
        <v>0</v>
      </c>
      <c r="AS91" s="67"/>
      <c r="AT91" s="65">
        <f t="shared" si="49"/>
        <v>0</v>
      </c>
      <c r="AU91" s="67"/>
      <c r="AV91" s="65">
        <f t="shared" si="50"/>
        <v>0</v>
      </c>
      <c r="AW91" s="67"/>
      <c r="AX91" s="65">
        <f t="shared" si="51"/>
        <v>0</v>
      </c>
      <c r="AY91" s="67"/>
      <c r="AZ91" s="65">
        <f t="shared" si="52"/>
        <v>0</v>
      </c>
      <c r="BA91" s="67"/>
      <c r="BB91" s="65">
        <f t="shared" si="53"/>
        <v>0</v>
      </c>
      <c r="BC91" s="67"/>
      <c r="BD91" s="65">
        <f t="shared" si="54"/>
        <v>0</v>
      </c>
      <c r="BE91" s="67"/>
      <c r="BF91" s="65">
        <f t="shared" si="55"/>
        <v>0</v>
      </c>
      <c r="BG91" s="68">
        <f t="shared" si="56"/>
        <v>0</v>
      </c>
      <c r="BH91" s="69">
        <f t="shared" si="57"/>
        <v>0</v>
      </c>
      <c r="BI91" s="70">
        <f t="shared" si="60"/>
        <v>0</v>
      </c>
      <c r="BJ91" s="71">
        <f t="shared" si="58"/>
        <v>30</v>
      </c>
      <c r="BK91" s="72">
        <f t="shared" si="59"/>
        <v>0</v>
      </c>
      <c r="BL91" s="179">
        <f t="shared" si="61"/>
        <v>0</v>
      </c>
    </row>
    <row r="92" spans="2:64" s="121" customFormat="1" ht="6.95" customHeight="1" x14ac:dyDescent="0.2">
      <c r="B92" s="120"/>
      <c r="C92" s="120"/>
      <c r="D92" s="120"/>
      <c r="E92" s="120"/>
      <c r="F92" s="120"/>
      <c r="G92" s="120"/>
      <c r="H92" s="120"/>
      <c r="I92" s="153"/>
      <c r="J92" s="120"/>
    </row>
    <row r="93" spans="2:64" ht="18" customHeight="1" x14ac:dyDescent="0.2">
      <c r="D93" s="42"/>
      <c r="E93" s="43" t="s">
        <v>912</v>
      </c>
      <c r="F93" s="44"/>
      <c r="G93" s="44"/>
      <c r="H93" s="45"/>
      <c r="I93" s="44"/>
      <c r="J93" s="46">
        <f>ROUND(SUBTOTAL(9,J12:J91),2)</f>
        <v>0</v>
      </c>
      <c r="K93" s="47"/>
      <c r="L93" s="46">
        <f>ROUND(SUBTOTAL(9,L12:L91),2)</f>
        <v>0</v>
      </c>
      <c r="M93" s="48" t="s">
        <v>875</v>
      </c>
      <c r="N93" s="46">
        <f>ROUND(SUBTOTAL(9,N12:N91),2)</f>
        <v>0</v>
      </c>
      <c r="O93" s="48" t="s">
        <v>875</v>
      </c>
      <c r="P93" s="46">
        <f>ROUND(SUBTOTAL(9,P12:P91),2)</f>
        <v>0</v>
      </c>
      <c r="Q93" s="48" t="s">
        <v>875</v>
      </c>
      <c r="R93" s="46">
        <f>ROUND(SUBTOTAL(9,R12:R91),2)</f>
        <v>0</v>
      </c>
      <c r="S93" s="48" t="s">
        <v>875</v>
      </c>
      <c r="T93" s="46">
        <f>ROUND(SUBTOTAL(9,T12:T91),2)</f>
        <v>0</v>
      </c>
      <c r="U93" s="48" t="s">
        <v>875</v>
      </c>
      <c r="V93" s="46">
        <f>ROUND(SUBTOTAL(9,V12:V91),2)</f>
        <v>0</v>
      </c>
      <c r="W93" s="48" t="s">
        <v>875</v>
      </c>
      <c r="X93" s="46">
        <f>ROUND(SUBTOTAL(9,X12:X91),2)</f>
        <v>0</v>
      </c>
      <c r="Y93" s="48" t="s">
        <v>875</v>
      </c>
      <c r="Z93" s="46">
        <f>ROUND(SUBTOTAL(9,Z12:Z91),2)</f>
        <v>0</v>
      </c>
      <c r="AA93" s="48" t="s">
        <v>875</v>
      </c>
      <c r="AB93" s="46">
        <f>ROUND(SUBTOTAL(9,AB12:AB91),2)</f>
        <v>0</v>
      </c>
      <c r="AC93" s="48" t="s">
        <v>875</v>
      </c>
      <c r="AD93" s="46">
        <f>ROUND(SUBTOTAL(9,AD12:AD91),2)</f>
        <v>0</v>
      </c>
      <c r="AE93" s="48" t="s">
        <v>875</v>
      </c>
      <c r="AF93" s="46">
        <f>ROUND(SUBTOTAL(9,AF12:AF91),2)</f>
        <v>0</v>
      </c>
      <c r="AG93" s="48" t="s">
        <v>875</v>
      </c>
      <c r="AH93" s="46">
        <f>ROUND(SUBTOTAL(9,AH12:AH91),2)</f>
        <v>0</v>
      </c>
      <c r="AI93" s="48" t="s">
        <v>875</v>
      </c>
      <c r="AJ93" s="46">
        <f>ROUND(SUBTOTAL(9,AJ12:AJ91),2)</f>
        <v>0</v>
      </c>
      <c r="AK93" s="48" t="s">
        <v>875</v>
      </c>
      <c r="AL93" s="46">
        <f>ROUND(SUBTOTAL(9,AL12:AL91),2)</f>
        <v>0</v>
      </c>
      <c r="AM93" s="48" t="s">
        <v>875</v>
      </c>
      <c r="AN93" s="46">
        <f>ROUND(SUBTOTAL(9,AN12:AN91),2)</f>
        <v>0</v>
      </c>
      <c r="AO93" s="48" t="s">
        <v>875</v>
      </c>
      <c r="AP93" s="46">
        <f>ROUND(SUBTOTAL(9,AP12:AP91),2)</f>
        <v>0</v>
      </c>
      <c r="AQ93" s="46"/>
      <c r="AR93" s="46">
        <f>ROUND(SUBTOTAL(9,AR12:AR91),2)</f>
        <v>0</v>
      </c>
      <c r="AS93" s="48" t="s">
        <v>875</v>
      </c>
      <c r="AT93" s="46">
        <f>ROUND(SUBTOTAL(9,AT12:AT91),2)</f>
        <v>0</v>
      </c>
      <c r="AU93" s="48" t="s">
        <v>875</v>
      </c>
      <c r="AV93" s="46">
        <f>ROUND(SUBTOTAL(9,AV12:AV91),2)</f>
        <v>0</v>
      </c>
      <c r="AW93" s="48" t="s">
        <v>875</v>
      </c>
      <c r="AX93" s="46">
        <f>ROUND(SUBTOTAL(9,AX12:AX91),2)</f>
        <v>0</v>
      </c>
      <c r="AY93" s="48" t="s">
        <v>875</v>
      </c>
      <c r="AZ93" s="46">
        <f>ROUND(SUBTOTAL(9,AZ12:AZ91),2)</f>
        <v>0</v>
      </c>
      <c r="BA93" s="48" t="s">
        <v>875</v>
      </c>
      <c r="BB93" s="46">
        <f>ROUND(SUBTOTAL(9,BB12:BB91),2)</f>
        <v>0</v>
      </c>
      <c r="BC93" s="48" t="s">
        <v>875</v>
      </c>
      <c r="BD93" s="46">
        <f>ROUND(SUBTOTAL(9,BD12:BD91),2)</f>
        <v>0</v>
      </c>
      <c r="BE93" s="48" t="s">
        <v>875</v>
      </c>
      <c r="BF93" s="46">
        <f>ROUND(SUBTOTAL(9,BF12:BF91),2)</f>
        <v>0</v>
      </c>
      <c r="BG93" s="49"/>
      <c r="BH93" s="46">
        <f>ROUND(SUBTOTAL(9,BH12:BH91),2)</f>
        <v>0</v>
      </c>
      <c r="BI93" s="46"/>
      <c r="BJ93" s="49"/>
      <c r="BK93" s="46">
        <f>ROUND(SUBTOTAL(9,BK12:BK91),2)</f>
        <v>0</v>
      </c>
    </row>
    <row r="94" spans="2:64" ht="12.75" x14ac:dyDescent="0.2">
      <c r="H94" s="50"/>
      <c r="I94" s="8"/>
      <c r="J94" s="9"/>
      <c r="K94" s="10"/>
      <c r="L94" s="10"/>
      <c r="M94" s="51" t="s">
        <v>875</v>
      </c>
      <c r="O94" s="51" t="s">
        <v>875</v>
      </c>
      <c r="Q94" s="52" t="s">
        <v>875</v>
      </c>
      <c r="S94" s="52" t="s">
        <v>875</v>
      </c>
      <c r="U94" s="53" t="s">
        <v>875</v>
      </c>
      <c r="Y94" s="53" t="s">
        <v>875</v>
      </c>
      <c r="AA94" s="52" t="s">
        <v>875</v>
      </c>
      <c r="AC94" s="54" t="s">
        <v>875</v>
      </c>
    </row>
    <row r="95" spans="2:64" ht="14.25" x14ac:dyDescent="0.2">
      <c r="E95" s="6" t="s">
        <v>849</v>
      </c>
      <c r="F95" s="6"/>
      <c r="G95" s="320" t="s">
        <v>1224</v>
      </c>
      <c r="H95" s="50"/>
      <c r="I95" s="8"/>
      <c r="J95" s="6"/>
      <c r="K95" s="6"/>
      <c r="Q95" s="52" t="s">
        <v>875</v>
      </c>
      <c r="S95" s="52" t="s">
        <v>875</v>
      </c>
      <c r="U95" s="53" t="s">
        <v>875</v>
      </c>
      <c r="Y95" s="53" t="s">
        <v>875</v>
      </c>
      <c r="AA95" s="52" t="s">
        <v>875</v>
      </c>
      <c r="AC95" s="54" t="s">
        <v>875</v>
      </c>
      <c r="BG95" s="6" t="s">
        <v>848</v>
      </c>
    </row>
  </sheetData>
  <sheetProtection formatColumns="0" formatRows="0" selectLockedCells="1" autoFilter="0" selectUnlockedCells="1"/>
  <protectedRanges>
    <protectedRange password="CCAA" sqref="BG8 K8" name="Oblast1_1_1"/>
    <protectedRange password="CCAA" sqref="D9:H11" name="Oblast1_2"/>
  </protectedRanges>
  <autoFilter ref="C10:BL91" xr:uid="{00000000-0009-0000-0000-000024000000}">
    <filterColumn colId="10" showButton="0"/>
    <filterColumn colId="12" showButton="0"/>
    <filterColumn colId="16" showButton="0"/>
    <filterColumn colId="18" showButton="0"/>
    <filterColumn colId="20" showButton="0"/>
    <filterColumn colId="22" showButton="0"/>
    <filterColumn colId="24" showButton="0"/>
    <filterColumn colId="26" showButton="0"/>
    <filterColumn colId="28" showButton="0"/>
    <filterColumn colId="30" showButton="0"/>
    <filterColumn colId="32" showButton="0"/>
    <filterColumn colId="34" showButton="0"/>
    <filterColumn colId="36" showButton="0"/>
    <filterColumn colId="38" showButton="0"/>
    <filterColumn colId="40" showButton="0"/>
    <filterColumn colId="42" showButton="0"/>
    <filterColumn colId="44" showButton="0"/>
    <filterColumn colId="46" showButton="0"/>
    <filterColumn colId="48" showButton="0"/>
    <filterColumn colId="50" showButton="0"/>
    <filterColumn colId="52" showButton="0"/>
    <filterColumn colId="54" showButton="0"/>
  </autoFilter>
  <mergeCells count="71">
    <mergeCell ref="BA10:BB10"/>
    <mergeCell ref="BC10:BD10"/>
    <mergeCell ref="BE10:BF10"/>
    <mergeCell ref="AO10:AP10"/>
    <mergeCell ref="AQ10:AR10"/>
    <mergeCell ref="AS10:AT10"/>
    <mergeCell ref="AU10:AV10"/>
    <mergeCell ref="AW10:AX10"/>
    <mergeCell ref="BC9:BD9"/>
    <mergeCell ref="BE9:BF9"/>
    <mergeCell ref="M10:N10"/>
    <mergeCell ref="O10:P10"/>
    <mergeCell ref="S10:T10"/>
    <mergeCell ref="U10:V10"/>
    <mergeCell ref="W10:X10"/>
    <mergeCell ref="Y10:Z10"/>
    <mergeCell ref="AA10:AB10"/>
    <mergeCell ref="AC10:AD10"/>
    <mergeCell ref="AE10:AF10"/>
    <mergeCell ref="AG10:AH10"/>
    <mergeCell ref="AI10:AJ10"/>
    <mergeCell ref="AK10:AL10"/>
    <mergeCell ref="AM10:AN10"/>
    <mergeCell ref="AY10:AZ10"/>
    <mergeCell ref="AS9:AT9"/>
    <mergeCell ref="AU9:AV9"/>
    <mergeCell ref="AW9:AX9"/>
    <mergeCell ref="AY9:AZ9"/>
    <mergeCell ref="BA9:BB9"/>
    <mergeCell ref="AI9:AJ9"/>
    <mergeCell ref="AK9:AL9"/>
    <mergeCell ref="AM9:AN9"/>
    <mergeCell ref="AO9:AP9"/>
    <mergeCell ref="AQ9:AR9"/>
    <mergeCell ref="AY8:AZ8"/>
    <mergeCell ref="BA8:BB8"/>
    <mergeCell ref="BC8:BD8"/>
    <mergeCell ref="BE8:BF8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C9:AD9"/>
    <mergeCell ref="AE9:AF9"/>
    <mergeCell ref="AG9:AH9"/>
    <mergeCell ref="AO8:AP8"/>
    <mergeCell ref="AQ8:AR8"/>
    <mergeCell ref="AS8:AT8"/>
    <mergeCell ref="AU8:AV8"/>
    <mergeCell ref="AW8:AX8"/>
    <mergeCell ref="BG9:BI9"/>
    <mergeCell ref="BJ9:BL9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AE8:AF8"/>
    <mergeCell ref="AG8:AH8"/>
    <mergeCell ref="AI8:AJ8"/>
    <mergeCell ref="AK8:AL8"/>
    <mergeCell ref="AM8:AN8"/>
  </mergeCells>
  <conditionalFormatting sqref="D3:E8 H3:N7 H8:L8 D9:L10 D11:AL11 BE11:JE11 BG8:JE8 BM9:JE10 O1:AI7 D1:N2 AK1:JE7">
    <cfRule type="cellIs" dxfId="293" priority="92" operator="lessThan">
      <formula>0</formula>
    </cfRule>
  </conditionalFormatting>
  <conditionalFormatting sqref="G4">
    <cfRule type="cellIs" dxfId="292" priority="91" operator="lessThan">
      <formula>0</formula>
    </cfRule>
  </conditionalFormatting>
  <conditionalFormatting sqref="G3">
    <cfRule type="cellIs" dxfId="291" priority="90" operator="lessThan">
      <formula>0</formula>
    </cfRule>
  </conditionalFormatting>
  <conditionalFormatting sqref="AO11:AP11">
    <cfRule type="cellIs" dxfId="290" priority="88" operator="lessThan">
      <formula>0</formula>
    </cfRule>
  </conditionalFormatting>
  <conditionalFormatting sqref="AQ11:AR11">
    <cfRule type="cellIs" dxfId="289" priority="87" operator="lessThan">
      <formula>0</formula>
    </cfRule>
  </conditionalFormatting>
  <conditionalFormatting sqref="AS11:AT11">
    <cfRule type="cellIs" dxfId="288" priority="86" operator="lessThan">
      <formula>0</formula>
    </cfRule>
  </conditionalFormatting>
  <conditionalFormatting sqref="AS10:AT10">
    <cfRule type="cellIs" dxfId="287" priority="64" operator="lessThan">
      <formula>0</formula>
    </cfRule>
  </conditionalFormatting>
  <conditionalFormatting sqref="AM10:AN10">
    <cfRule type="cellIs" dxfId="286" priority="67" operator="lessThan">
      <formula>0</formula>
    </cfRule>
  </conditionalFormatting>
  <conditionalFormatting sqref="AI8">
    <cfRule type="cellIs" dxfId="285" priority="70" operator="lessThan">
      <formula>0</formula>
    </cfRule>
  </conditionalFormatting>
  <conditionalFormatting sqref="AG10:AH10">
    <cfRule type="cellIs" dxfId="284" priority="73" operator="lessThan">
      <formula>0</formula>
    </cfRule>
  </conditionalFormatting>
  <conditionalFormatting sqref="AC8">
    <cfRule type="cellIs" dxfId="283" priority="76" operator="lessThan">
      <formula>0</formula>
    </cfRule>
  </conditionalFormatting>
  <conditionalFormatting sqref="W8">
    <cfRule type="cellIs" dxfId="282" priority="79" operator="lessThan">
      <formula>0</formula>
    </cfRule>
  </conditionalFormatting>
  <conditionalFormatting sqref="BC11:BD11">
    <cfRule type="cellIs" dxfId="281" priority="81" operator="lessThan">
      <formula>0</formula>
    </cfRule>
  </conditionalFormatting>
  <conditionalFormatting sqref="AO10:AP10">
    <cfRule type="cellIs" dxfId="280" priority="66" operator="lessThan">
      <formula>0</formula>
    </cfRule>
  </conditionalFormatting>
  <conditionalFormatting sqref="AK10:AL10">
    <cfRule type="cellIs" dxfId="279" priority="69" operator="lessThan">
      <formula>0</formula>
    </cfRule>
  </conditionalFormatting>
  <conditionalFormatting sqref="AG8">
    <cfRule type="cellIs" dxfId="278" priority="72" operator="lessThan">
      <formula>0</formula>
    </cfRule>
  </conditionalFormatting>
  <conditionalFormatting sqref="AE10:AF10">
    <cfRule type="cellIs" dxfId="277" priority="75" operator="lessThan">
      <formula>0</formula>
    </cfRule>
  </conditionalFormatting>
  <conditionalFormatting sqref="Y8">
    <cfRule type="cellIs" dxfId="276" priority="78" operator="lessThan">
      <formula>0</formula>
    </cfRule>
  </conditionalFormatting>
  <conditionalFormatting sqref="AM11:AN11">
    <cfRule type="cellIs" dxfId="275" priority="89" operator="lessThan">
      <formula>0</formula>
    </cfRule>
  </conditionalFormatting>
  <conditionalFormatting sqref="O8 Q8 M8 S8 U8 M10:AD10 M9:AZ9">
    <cfRule type="cellIs" dxfId="274" priority="80" operator="lessThan">
      <formula>0</formula>
    </cfRule>
  </conditionalFormatting>
  <conditionalFormatting sqref="AA8">
    <cfRule type="cellIs" dxfId="273" priority="77" operator="lessThan">
      <formula>0</formula>
    </cfRule>
  </conditionalFormatting>
  <conditionalFormatting sqref="AE8">
    <cfRule type="cellIs" dxfId="272" priority="74" operator="lessThan">
      <formula>0</formula>
    </cfRule>
  </conditionalFormatting>
  <conditionalFormatting sqref="AU11:AV11">
    <cfRule type="cellIs" dxfId="271" priority="85" operator="lessThan">
      <formula>0</formula>
    </cfRule>
  </conditionalFormatting>
  <conditionalFormatting sqref="AK8">
    <cfRule type="cellIs" dxfId="270" priority="68" operator="lessThan">
      <formula>0</formula>
    </cfRule>
  </conditionalFormatting>
  <conditionalFormatting sqref="AW11:AX11">
    <cfRule type="cellIs" dxfId="269" priority="84" operator="lessThan">
      <formula>0</formula>
    </cfRule>
  </conditionalFormatting>
  <conditionalFormatting sqref="AQ10:AR10">
    <cfRule type="cellIs" dxfId="268" priority="65" operator="lessThan">
      <formula>0</formula>
    </cfRule>
  </conditionalFormatting>
  <conditionalFormatting sqref="AY11:AZ11">
    <cfRule type="cellIs" dxfId="267" priority="83" operator="lessThan">
      <formula>0</formula>
    </cfRule>
  </conditionalFormatting>
  <conditionalFormatting sqref="AW10:AX10">
    <cfRule type="cellIs" dxfId="266" priority="62" operator="lessThan">
      <formula>0</formula>
    </cfRule>
  </conditionalFormatting>
  <conditionalFormatting sqref="AY10:AZ10">
    <cfRule type="cellIs" dxfId="265" priority="61" operator="lessThan">
      <formula>0</formula>
    </cfRule>
  </conditionalFormatting>
  <conditionalFormatting sqref="BA9:BB10 BC9:BD9">
    <cfRule type="cellIs" dxfId="264" priority="60" operator="lessThan">
      <formula>0</formula>
    </cfRule>
  </conditionalFormatting>
  <conditionalFormatting sqref="BA11:BB11">
    <cfRule type="cellIs" dxfId="263" priority="82" operator="lessThan">
      <formula>0</formula>
    </cfRule>
  </conditionalFormatting>
  <conditionalFormatting sqref="AM8 AO8 AQ8 AS8">
    <cfRule type="cellIs" dxfId="262" priority="58" operator="lessThan">
      <formula>0</formula>
    </cfRule>
  </conditionalFormatting>
  <conditionalFormatting sqref="AU8">
    <cfRule type="cellIs" dxfId="261" priority="57" operator="lessThan">
      <formula>0</formula>
    </cfRule>
  </conditionalFormatting>
  <conditionalFormatting sqref="AY8">
    <cfRule type="cellIs" dxfId="260" priority="55" operator="lessThan">
      <formula>0</formula>
    </cfRule>
  </conditionalFormatting>
  <conditionalFormatting sqref="BA8">
    <cfRule type="cellIs" dxfId="259" priority="54" operator="lessThan">
      <formula>0</formula>
    </cfRule>
  </conditionalFormatting>
  <conditionalFormatting sqref="BC8">
    <cfRule type="cellIs" dxfId="258" priority="53" operator="lessThan">
      <formula>0</formula>
    </cfRule>
  </conditionalFormatting>
  <conditionalFormatting sqref="BE9:BF9">
    <cfRule type="cellIs" dxfId="257" priority="52" operator="lessThan">
      <formula>0</formula>
    </cfRule>
  </conditionalFormatting>
  <conditionalFormatting sqref="BE10:BF10">
    <cfRule type="cellIs" dxfId="256" priority="51" operator="lessThan">
      <formula>0</formula>
    </cfRule>
  </conditionalFormatting>
  <conditionalFormatting sqref="BE8">
    <cfRule type="cellIs" dxfId="255" priority="50" operator="lessThan">
      <formula>0</formula>
    </cfRule>
  </conditionalFormatting>
  <conditionalFormatting sqref="AI10:AJ10">
    <cfRule type="cellIs" dxfId="254" priority="71" operator="lessThan">
      <formula>0</formula>
    </cfRule>
  </conditionalFormatting>
  <conditionalFormatting sqref="AU10:AV10">
    <cfRule type="cellIs" dxfId="253" priority="63" operator="lessThan">
      <formula>0</formula>
    </cfRule>
  </conditionalFormatting>
  <conditionalFormatting sqref="BC10:BD10">
    <cfRule type="cellIs" dxfId="252" priority="59" operator="lessThan">
      <formula>0</formula>
    </cfRule>
  </conditionalFormatting>
  <conditionalFormatting sqref="AW8">
    <cfRule type="cellIs" dxfId="251" priority="56" operator="lessThan">
      <formula>0</formula>
    </cfRule>
  </conditionalFormatting>
  <conditionalFormatting sqref="K12:AL91 BE12:BK13 BE14:BH91 BJ15:BK91">
    <cfRule type="cellIs" dxfId="250" priority="49" operator="lessThan">
      <formula>0</formula>
    </cfRule>
  </conditionalFormatting>
  <conditionalFormatting sqref="N12:N91 Q12:Q91 S12:S91 W12:W91 Y12:Y91">
    <cfRule type="cellIs" dxfId="249" priority="48" operator="lessThan">
      <formula>0</formula>
    </cfRule>
  </conditionalFormatting>
  <conditionalFormatting sqref="N12:N91 Q12:Q91 S12:S91 W12:W91 Y12:Y91">
    <cfRule type="cellIs" dxfId="248" priority="47" operator="lessThan">
      <formula>0</formula>
    </cfRule>
  </conditionalFormatting>
  <conditionalFormatting sqref="N12:N91 Q12:Q91 S12:S91 W12:W91 Y12:Y91">
    <cfRule type="cellIs" dxfId="247" priority="46" operator="lessThan">
      <formula>0</formula>
    </cfRule>
  </conditionalFormatting>
  <conditionalFormatting sqref="W12:W91 Y12:Y91">
    <cfRule type="cellIs" dxfId="246" priority="44" operator="lessThan">
      <formula>0</formula>
    </cfRule>
    <cfRule type="cellIs" dxfId="245" priority="45" operator="lessThan">
      <formula>0</formula>
    </cfRule>
  </conditionalFormatting>
  <conditionalFormatting sqref="N12:N91 Q12:Q91 S12:S91 W12:W91 Y12:Y91">
    <cfRule type="cellIs" dxfId="244" priority="43" operator="lessThan">
      <formula>0</formula>
    </cfRule>
  </conditionalFormatting>
  <conditionalFormatting sqref="W12:W91">
    <cfRule type="cellIs" dxfId="243" priority="41" operator="lessThan">
      <formula>0</formula>
    </cfRule>
    <cfRule type="cellIs" dxfId="242" priority="42" operator="lessThan">
      <formula>0</formula>
    </cfRule>
  </conditionalFormatting>
  <conditionalFormatting sqref="Y12:Y91">
    <cfRule type="cellIs" dxfId="241" priority="39" operator="lessThan">
      <formula>0</formula>
    </cfRule>
    <cfRule type="cellIs" dxfId="240" priority="40" operator="lessThan">
      <formula>0</formula>
    </cfRule>
  </conditionalFormatting>
  <conditionalFormatting sqref="N12:N91">
    <cfRule type="cellIs" dxfId="239" priority="38" operator="lessThan">
      <formula>0</formula>
    </cfRule>
  </conditionalFormatting>
  <conditionalFormatting sqref="BG12:BK13 BG14:BH91 BJ15:BK91">
    <cfRule type="cellIs" dxfId="238" priority="37" operator="lessThan">
      <formula>0</formula>
    </cfRule>
  </conditionalFormatting>
  <conditionalFormatting sqref="AO12:AP91">
    <cfRule type="cellIs" dxfId="237" priority="35" operator="lessThan">
      <formula>0</formula>
    </cfRule>
  </conditionalFormatting>
  <conditionalFormatting sqref="AQ12:AR91">
    <cfRule type="cellIs" dxfId="236" priority="34" operator="lessThan">
      <formula>0</formula>
    </cfRule>
  </conditionalFormatting>
  <conditionalFormatting sqref="AS12:AT91">
    <cfRule type="cellIs" dxfId="235" priority="33" operator="lessThan">
      <formula>0</formula>
    </cfRule>
  </conditionalFormatting>
  <conditionalFormatting sqref="BC12:BD91">
    <cfRule type="cellIs" dxfId="234" priority="28" operator="lessThan">
      <formula>0</formula>
    </cfRule>
  </conditionalFormatting>
  <conditionalFormatting sqref="AM12:AN91">
    <cfRule type="cellIs" dxfId="233" priority="36" operator="lessThan">
      <formula>0</formula>
    </cfRule>
  </conditionalFormatting>
  <conditionalFormatting sqref="AU12:AV91">
    <cfRule type="cellIs" dxfId="232" priority="32" operator="lessThan">
      <formula>0</formula>
    </cfRule>
  </conditionalFormatting>
  <conditionalFormatting sqref="AW12:AX91">
    <cfRule type="cellIs" dxfId="231" priority="31" operator="lessThan">
      <formula>0</formula>
    </cfRule>
  </conditionalFormatting>
  <conditionalFormatting sqref="AY12:AZ91">
    <cfRule type="cellIs" dxfId="230" priority="30" operator="lessThan">
      <formula>0</formula>
    </cfRule>
  </conditionalFormatting>
  <conditionalFormatting sqref="BA12:BB91">
    <cfRule type="cellIs" dxfId="229" priority="29" operator="lessThan">
      <formula>0</formula>
    </cfRule>
  </conditionalFormatting>
  <conditionalFormatting sqref="Q95:AL95 BE94:BF95 K93 M93 O93 Q93 S93 U93 W93 Y93 AA93 AC93 AE93 AG93 AI93 AK93 BE93 K94:AK94">
    <cfRule type="cellIs" dxfId="228" priority="27" operator="lessThan">
      <formula>0</formula>
    </cfRule>
  </conditionalFormatting>
  <conditionalFormatting sqref="E93:J94 BG93:BG94 D93:D95 BH93:JO95">
    <cfRule type="cellIs" dxfId="227" priority="26" operator="lessThan">
      <formula>0</formula>
    </cfRule>
  </conditionalFormatting>
  <conditionalFormatting sqref="BH95:BI95 Q95:R95 T95 V95:X95 Z95 AB95">
    <cfRule type="cellIs" dxfId="226" priority="25" operator="lessThan">
      <formula>0</formula>
    </cfRule>
  </conditionalFormatting>
  <conditionalFormatting sqref="Q95:R95 T95 V95:X95 Z95 AB95">
    <cfRule type="cellIs" dxfId="225" priority="24" operator="lessThan">
      <formula>0</formula>
    </cfRule>
  </conditionalFormatting>
  <conditionalFormatting sqref="Q95:R95 T95 V95:X95 Z95 AB95">
    <cfRule type="cellIs" dxfId="224" priority="23" operator="lessThan">
      <formula>0</formula>
    </cfRule>
  </conditionalFormatting>
  <conditionalFormatting sqref="AO94:AP95 AO93">
    <cfRule type="cellIs" dxfId="223" priority="21" operator="lessThan">
      <formula>0</formula>
    </cfRule>
  </conditionalFormatting>
  <conditionalFormatting sqref="AQ94:AR95">
    <cfRule type="cellIs" dxfId="222" priority="20" operator="lessThan">
      <formula>0</formula>
    </cfRule>
  </conditionalFormatting>
  <conditionalFormatting sqref="AS94:AT95 AS93">
    <cfRule type="cellIs" dxfId="221" priority="19" operator="lessThan">
      <formula>0</formula>
    </cfRule>
  </conditionalFormatting>
  <conditionalFormatting sqref="BC94:BD95 BC93">
    <cfRule type="cellIs" dxfId="220" priority="14" operator="lessThan">
      <formula>0</formula>
    </cfRule>
  </conditionalFormatting>
  <conditionalFormatting sqref="AM94:AN95 AM93">
    <cfRule type="cellIs" dxfId="219" priority="22" operator="lessThan">
      <formula>0</formula>
    </cfRule>
  </conditionalFormatting>
  <conditionalFormatting sqref="AU94:AV95 AU93">
    <cfRule type="cellIs" dxfId="218" priority="18" operator="lessThan">
      <formula>0</formula>
    </cfRule>
  </conditionalFormatting>
  <conditionalFormatting sqref="AW94:AX95 AW93">
    <cfRule type="cellIs" dxfId="217" priority="17" operator="lessThan">
      <formula>0</formula>
    </cfRule>
  </conditionalFormatting>
  <conditionalFormatting sqref="AY94:AZ95 AY93">
    <cfRule type="cellIs" dxfId="216" priority="16" operator="lessThan">
      <formula>0</formula>
    </cfRule>
  </conditionalFormatting>
  <conditionalFormatting sqref="BA94:BB95 BA93">
    <cfRule type="cellIs" dxfId="215" priority="15" operator="lessThan">
      <formula>0</formula>
    </cfRule>
  </conditionalFormatting>
  <conditionalFormatting sqref="AQ93">
    <cfRule type="cellIs" dxfId="214" priority="13" operator="lessThan">
      <formula>0</formula>
    </cfRule>
  </conditionalFormatting>
  <conditionalFormatting sqref="AL94">
    <cfRule type="cellIs" dxfId="213" priority="12" operator="lessThan">
      <formula>0</formula>
    </cfRule>
  </conditionalFormatting>
  <conditionalFormatting sqref="BG9:BH10 BJ9:BK9">
    <cfRule type="cellIs" dxfId="212" priority="9" operator="lessThan">
      <formula>0</formula>
    </cfRule>
  </conditionalFormatting>
  <conditionalFormatting sqref="BI10:BL10">
    <cfRule type="cellIs" dxfId="211" priority="8" operator="lessThan">
      <formula>0</formula>
    </cfRule>
  </conditionalFormatting>
  <conditionalFormatting sqref="BJ14:BK14">
    <cfRule type="cellIs" dxfId="210" priority="7" operator="lessThan">
      <formula>0</formula>
    </cfRule>
  </conditionalFormatting>
  <conditionalFormatting sqref="BJ14:BK14">
    <cfRule type="cellIs" dxfId="209" priority="6" operator="lessThan">
      <formula>0</formula>
    </cfRule>
  </conditionalFormatting>
  <conditionalFormatting sqref="BF93 BD93 BB93 AZ93 AX93 AV93 AT93 AR93 AP93 AN93 AL93 AJ93 AH93 AF93 AD93 AB93 Z93 X93 V93 T93 R93 P93 N93 L93">
    <cfRule type="cellIs" dxfId="208" priority="5" operator="lessThan">
      <formula>0</formula>
    </cfRule>
  </conditionalFormatting>
  <conditionalFormatting sqref="G95:I95 L95:P95">
    <cfRule type="cellIs" dxfId="207" priority="4" operator="lessThan">
      <formula>0</formula>
    </cfRule>
  </conditionalFormatting>
  <conditionalFormatting sqref="G95:I95 L95:M95">
    <cfRule type="cellIs" dxfId="206" priority="3" operator="lessThan">
      <formula>0</formula>
    </cfRule>
  </conditionalFormatting>
  <conditionalFormatting sqref="G95:I95">
    <cfRule type="cellIs" dxfId="205" priority="2" operator="lessThan">
      <formula>0</formula>
    </cfRule>
  </conditionalFormatting>
  <conditionalFormatting sqref="G95:I95">
    <cfRule type="cellIs" dxfId="204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1" fitToHeight="0" orientation="landscape" r:id="rId1"/>
  <headerFooter>
    <oddFooter>&amp;CStrana &amp;P z &amp;N</oddFooter>
  </headerFooter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pageSetUpPr fitToPage="1"/>
  </sheetPr>
  <dimension ref="B1:BL27"/>
  <sheetViews>
    <sheetView showGridLines="0" view="pageBreakPreview" zoomScale="60" zoomScaleNormal="100" workbookViewId="0">
      <selection activeCell="BG17" sqref="BG17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4" width="9.33203125" style="8"/>
    <col min="15" max="58" width="9.33203125" style="8" hidden="1" customWidth="1"/>
    <col min="59" max="60" width="9.33203125" style="8"/>
    <col min="61" max="61" width="13.83203125" style="8" bestFit="1" customWidth="1"/>
    <col min="62" max="62" width="9.33203125" style="8"/>
    <col min="63" max="63" width="21" style="8" customWidth="1"/>
    <col min="64" max="64" width="13.83203125" style="8" bestFit="1" customWidth="1"/>
    <col min="65" max="16384" width="9.33203125" style="8"/>
  </cols>
  <sheetData>
    <row r="1" spans="2:64" ht="18.95" customHeight="1" x14ac:dyDescent="0.2">
      <c r="F1" s="11"/>
      <c r="G1" s="89"/>
      <c r="H1" s="88"/>
      <c r="I1" s="8"/>
      <c r="J1" s="9"/>
      <c r="K1" s="10"/>
      <c r="L1" s="10"/>
    </row>
    <row r="2" spans="2:64" s="88" customFormat="1" ht="18" customHeight="1" x14ac:dyDescent="0.25">
      <c r="E2" s="13"/>
      <c r="F2" s="11" t="s">
        <v>824</v>
      </c>
      <c r="G2" s="89" t="s">
        <v>825</v>
      </c>
      <c r="I2" s="91"/>
      <c r="J2" s="141"/>
      <c r="K2" s="90"/>
      <c r="L2" s="91"/>
      <c r="M2" s="92"/>
      <c r="N2" s="93"/>
      <c r="O2" s="92"/>
      <c r="P2" s="93"/>
      <c r="Q2" s="92"/>
      <c r="R2" s="93"/>
      <c r="S2" s="92"/>
      <c r="T2" s="93"/>
      <c r="U2" s="92"/>
      <c r="V2" s="93"/>
      <c r="W2" s="92"/>
      <c r="X2" s="93"/>
      <c r="Y2" s="92"/>
      <c r="Z2" s="93"/>
      <c r="AA2" s="92"/>
      <c r="AB2" s="93"/>
      <c r="AC2" s="92"/>
      <c r="AD2" s="93"/>
      <c r="AE2" s="92"/>
      <c r="AF2" s="93"/>
      <c r="AG2" s="92"/>
      <c r="AH2" s="93"/>
      <c r="AI2" s="92"/>
      <c r="AJ2" s="93"/>
      <c r="AK2" s="92"/>
      <c r="AL2" s="93"/>
      <c r="AM2" s="92"/>
      <c r="AN2" s="93"/>
      <c r="AO2" s="92"/>
      <c r="AP2" s="93"/>
      <c r="AQ2" s="92"/>
      <c r="AR2" s="93"/>
      <c r="AS2" s="92"/>
      <c r="AT2" s="93"/>
      <c r="AU2" s="92"/>
      <c r="AV2" s="93"/>
      <c r="AW2" s="92"/>
      <c r="AX2" s="93"/>
      <c r="AY2" s="92"/>
      <c r="AZ2" s="93"/>
      <c r="BA2" s="92"/>
      <c r="BB2" s="93"/>
      <c r="BC2" s="92"/>
      <c r="BD2" s="93"/>
      <c r="BE2" s="92"/>
      <c r="BF2" s="94"/>
      <c r="BG2" s="95"/>
      <c r="BH2" s="96"/>
      <c r="BI2" s="96"/>
      <c r="BJ2" s="97"/>
      <c r="BK2" s="142"/>
    </row>
    <row r="3" spans="2:64" s="88" customFormat="1" ht="18" customHeight="1" x14ac:dyDescent="0.25">
      <c r="E3" s="13"/>
      <c r="F3" s="11" t="s">
        <v>826</v>
      </c>
      <c r="G3" s="89" t="s">
        <v>3</v>
      </c>
      <c r="H3" s="13"/>
      <c r="I3" s="91"/>
      <c r="J3" s="141"/>
      <c r="K3" s="90"/>
      <c r="L3" s="91"/>
      <c r="M3" s="92"/>
      <c r="N3" s="93"/>
      <c r="O3" s="92"/>
      <c r="P3" s="93"/>
      <c r="Q3" s="92"/>
      <c r="R3" s="93"/>
      <c r="S3" s="92"/>
      <c r="T3" s="93"/>
      <c r="U3" s="92"/>
      <c r="V3" s="93"/>
      <c r="W3" s="92"/>
      <c r="X3" s="93"/>
      <c r="Y3" s="92"/>
      <c r="Z3" s="93"/>
      <c r="AA3" s="92"/>
      <c r="AB3" s="93"/>
      <c r="AC3" s="92"/>
      <c r="AD3" s="93"/>
      <c r="AE3" s="92"/>
      <c r="AF3" s="93"/>
      <c r="AG3" s="92"/>
      <c r="AH3" s="93"/>
      <c r="AI3" s="92"/>
      <c r="AJ3" s="93"/>
      <c r="AK3" s="92"/>
      <c r="AL3" s="93"/>
      <c r="AM3" s="92"/>
      <c r="AN3" s="93"/>
      <c r="AO3" s="92"/>
      <c r="AP3" s="93"/>
      <c r="AQ3" s="92"/>
      <c r="AR3" s="93"/>
      <c r="AS3" s="92"/>
      <c r="AT3" s="93"/>
      <c r="AU3" s="92"/>
      <c r="AV3" s="93"/>
      <c r="AW3" s="92"/>
      <c r="AX3" s="93"/>
      <c r="AY3" s="92"/>
      <c r="AZ3" s="93"/>
      <c r="BA3" s="92"/>
      <c r="BB3" s="93"/>
      <c r="BC3" s="92"/>
      <c r="BD3" s="93"/>
      <c r="BE3" s="92"/>
      <c r="BF3" s="94"/>
      <c r="BG3" s="95"/>
      <c r="BH3" s="96"/>
      <c r="BI3" s="96"/>
      <c r="BJ3" s="97"/>
      <c r="BK3" s="142"/>
    </row>
    <row r="4" spans="2:64" s="13" customFormat="1" ht="18" customHeight="1" x14ac:dyDescent="0.25">
      <c r="F4" s="1" t="s">
        <v>827</v>
      </c>
      <c r="G4" s="12" t="s">
        <v>828</v>
      </c>
      <c r="I4" s="91"/>
      <c r="J4" s="143"/>
      <c r="K4" s="98"/>
      <c r="L4" s="91"/>
      <c r="M4" s="99"/>
      <c r="N4" s="100"/>
      <c r="O4" s="99"/>
      <c r="P4" s="100"/>
      <c r="Q4" s="99"/>
      <c r="R4" s="100"/>
      <c r="S4" s="99"/>
      <c r="T4" s="100"/>
      <c r="U4" s="99"/>
      <c r="V4" s="100"/>
      <c r="W4" s="99"/>
      <c r="X4" s="100"/>
      <c r="Y4" s="99"/>
      <c r="Z4" s="100"/>
      <c r="AA4" s="99"/>
      <c r="AB4" s="100"/>
      <c r="AC4" s="99"/>
      <c r="AD4" s="100"/>
      <c r="AE4" s="99"/>
      <c r="AF4" s="100"/>
      <c r="AG4" s="99"/>
      <c r="AH4" s="100"/>
      <c r="AI4" s="99"/>
      <c r="AJ4" s="100"/>
      <c r="AK4" s="99"/>
      <c r="AL4" s="100"/>
      <c r="AM4" s="99"/>
      <c r="AN4" s="100"/>
      <c r="AO4" s="99"/>
      <c r="AP4" s="100"/>
      <c r="AQ4" s="99"/>
      <c r="AR4" s="100"/>
      <c r="AS4" s="99"/>
      <c r="AT4" s="100"/>
      <c r="AU4" s="99"/>
      <c r="AV4" s="100"/>
      <c r="AW4" s="99"/>
      <c r="AX4" s="100"/>
      <c r="AY4" s="99"/>
      <c r="AZ4" s="100"/>
      <c r="BA4" s="99"/>
      <c r="BB4" s="100"/>
      <c r="BC4" s="99"/>
      <c r="BD4" s="100"/>
      <c r="BE4" s="99"/>
      <c r="BF4" s="101"/>
      <c r="BG4" s="102"/>
      <c r="BH4" s="103"/>
      <c r="BI4" s="103"/>
      <c r="BJ4" s="104"/>
      <c r="BK4" s="144"/>
    </row>
    <row r="5" spans="2:64" s="13" customFormat="1" ht="18" customHeight="1" x14ac:dyDescent="0.25">
      <c r="F5" s="1" t="s">
        <v>829</v>
      </c>
      <c r="G5" s="12" t="s">
        <v>830</v>
      </c>
      <c r="I5" s="91"/>
      <c r="J5" s="143"/>
      <c r="K5" s="98"/>
      <c r="L5" s="91"/>
      <c r="M5" s="99"/>
      <c r="N5" s="100"/>
      <c r="O5" s="99"/>
      <c r="P5" s="100"/>
      <c r="Q5" s="99"/>
      <c r="R5" s="100"/>
      <c r="S5" s="99"/>
      <c r="T5" s="100"/>
      <c r="U5" s="99"/>
      <c r="V5" s="100"/>
      <c r="W5" s="99"/>
      <c r="X5" s="100"/>
      <c r="Y5" s="99"/>
      <c r="Z5" s="100"/>
      <c r="AA5" s="99"/>
      <c r="AB5" s="100"/>
      <c r="AC5" s="99"/>
      <c r="AD5" s="100"/>
      <c r="AE5" s="99"/>
      <c r="AF5" s="100"/>
      <c r="AG5" s="99"/>
      <c r="AH5" s="100"/>
      <c r="AI5" s="99"/>
      <c r="AJ5" s="100"/>
      <c r="AK5" s="99"/>
      <c r="AL5" s="100"/>
      <c r="AM5" s="99"/>
      <c r="AN5" s="100"/>
      <c r="AO5" s="99"/>
      <c r="AP5" s="100"/>
      <c r="AQ5" s="99"/>
      <c r="AR5" s="100"/>
      <c r="AS5" s="99"/>
      <c r="AT5" s="100"/>
      <c r="AU5" s="99"/>
      <c r="AV5" s="100"/>
      <c r="AW5" s="99"/>
      <c r="AX5" s="100"/>
      <c r="AY5" s="99"/>
      <c r="AZ5" s="100"/>
      <c r="BA5" s="99"/>
      <c r="BB5" s="100"/>
      <c r="BC5" s="99"/>
      <c r="BD5" s="100"/>
      <c r="BE5" s="99"/>
      <c r="BF5" s="101"/>
      <c r="BG5" s="102"/>
      <c r="BH5" s="103"/>
      <c r="BI5" s="103"/>
      <c r="BJ5" s="104"/>
      <c r="BK5" s="144"/>
    </row>
    <row r="6" spans="2:64" s="13" customFormat="1" ht="18" customHeight="1" x14ac:dyDescent="0.25">
      <c r="F6" s="11" t="s">
        <v>831</v>
      </c>
      <c r="G6" s="12" t="s">
        <v>832</v>
      </c>
      <c r="I6" s="91"/>
      <c r="J6" s="143"/>
      <c r="K6" s="98"/>
      <c r="L6" s="91"/>
      <c r="M6" s="99"/>
      <c r="N6" s="100"/>
      <c r="O6" s="99"/>
      <c r="P6" s="100"/>
      <c r="Q6" s="99"/>
      <c r="R6" s="100"/>
      <c r="S6" s="99"/>
      <c r="T6" s="100"/>
      <c r="U6" s="99"/>
      <c r="V6" s="100"/>
      <c r="W6" s="99"/>
      <c r="X6" s="100"/>
      <c r="Y6" s="99"/>
      <c r="Z6" s="100"/>
      <c r="AA6" s="99"/>
      <c r="AB6" s="100"/>
      <c r="AC6" s="99"/>
      <c r="AD6" s="100"/>
      <c r="AE6" s="99"/>
      <c r="AF6" s="100"/>
      <c r="AG6" s="99"/>
      <c r="AH6" s="100"/>
      <c r="AI6" s="99"/>
      <c r="AJ6" s="100"/>
      <c r="AK6" s="99"/>
      <c r="AL6" s="100"/>
      <c r="AM6" s="99"/>
      <c r="AN6" s="100"/>
      <c r="AO6" s="99"/>
      <c r="AP6" s="100"/>
      <c r="AQ6" s="99"/>
      <c r="AR6" s="100"/>
      <c r="AS6" s="99"/>
      <c r="AT6" s="100"/>
      <c r="AU6" s="99"/>
      <c r="AV6" s="100"/>
      <c r="AW6" s="99"/>
      <c r="AX6" s="100"/>
      <c r="AY6" s="99"/>
      <c r="AZ6" s="100"/>
      <c r="BA6" s="99"/>
      <c r="BB6" s="100"/>
      <c r="BC6" s="99"/>
      <c r="BD6" s="100"/>
      <c r="BE6" s="99"/>
      <c r="BF6" s="101"/>
      <c r="BG6" s="102"/>
      <c r="BH6" s="103"/>
      <c r="BI6" s="103"/>
      <c r="BJ6" s="104"/>
      <c r="BK6" s="144"/>
    </row>
    <row r="7" spans="2:64" s="13" customFormat="1" ht="18" customHeight="1" x14ac:dyDescent="0.25">
      <c r="F7" s="11" t="s">
        <v>833</v>
      </c>
      <c r="G7" s="105" t="s">
        <v>834</v>
      </c>
      <c r="H7" s="145"/>
      <c r="I7" s="91"/>
      <c r="J7" s="143"/>
      <c r="K7" s="98"/>
      <c r="L7" s="91"/>
      <c r="M7" s="99"/>
      <c r="N7" s="100"/>
      <c r="O7" s="99"/>
      <c r="P7" s="100"/>
      <c r="Q7" s="99"/>
      <c r="R7" s="100"/>
      <c r="S7" s="99"/>
      <c r="T7" s="100"/>
      <c r="U7" s="99"/>
      <c r="V7" s="100"/>
      <c r="W7" s="99"/>
      <c r="X7" s="100"/>
      <c r="Y7" s="99"/>
      <c r="Z7" s="100"/>
      <c r="AA7" s="99"/>
      <c r="AB7" s="100"/>
      <c r="AC7" s="99"/>
      <c r="AD7" s="100"/>
      <c r="AE7" s="99"/>
      <c r="AF7" s="100"/>
      <c r="AG7" s="99"/>
      <c r="AH7" s="100"/>
      <c r="AI7" s="99"/>
      <c r="AJ7" s="100"/>
      <c r="AK7" s="99"/>
      <c r="AL7" s="100"/>
      <c r="AM7" s="99"/>
      <c r="AN7" s="100"/>
      <c r="AO7" s="99"/>
      <c r="AP7" s="100"/>
      <c r="AQ7" s="99"/>
      <c r="AR7" s="100"/>
      <c r="AS7" s="99"/>
      <c r="AT7" s="100"/>
      <c r="AU7" s="99"/>
      <c r="AV7" s="100"/>
      <c r="AW7" s="99"/>
      <c r="AX7" s="100"/>
      <c r="AY7" s="99"/>
      <c r="AZ7" s="100"/>
      <c r="BA7" s="99"/>
      <c r="BB7" s="100"/>
      <c r="BC7" s="99"/>
      <c r="BD7" s="100"/>
      <c r="BE7" s="99"/>
      <c r="BF7" s="101"/>
      <c r="BG7" s="102"/>
      <c r="BH7" s="103"/>
      <c r="BI7" s="103"/>
      <c r="BJ7" s="104"/>
      <c r="BK7" s="144"/>
    </row>
    <row r="8" spans="2:64" s="14" customFormat="1" ht="18" customHeight="1" x14ac:dyDescent="0.2">
      <c r="D8" s="146"/>
      <c r="F8" s="11"/>
      <c r="G8" s="105"/>
      <c r="H8" s="145"/>
      <c r="K8" s="147"/>
      <c r="L8" s="148" t="s">
        <v>850</v>
      </c>
      <c r="M8" s="356">
        <v>44926</v>
      </c>
      <c r="N8" s="356"/>
      <c r="O8" s="351">
        <v>44012</v>
      </c>
      <c r="P8" s="351"/>
      <c r="Q8" s="351">
        <v>44043</v>
      </c>
      <c r="R8" s="351"/>
      <c r="S8" s="351">
        <v>44074</v>
      </c>
      <c r="T8" s="351"/>
      <c r="U8" s="351">
        <v>44104</v>
      </c>
      <c r="V8" s="351"/>
      <c r="W8" s="351">
        <v>44135</v>
      </c>
      <c r="X8" s="351"/>
      <c r="Y8" s="351">
        <v>44165</v>
      </c>
      <c r="Z8" s="351"/>
      <c r="AA8" s="351">
        <v>44196</v>
      </c>
      <c r="AB8" s="351"/>
      <c r="AC8" s="351">
        <v>44227</v>
      </c>
      <c r="AD8" s="351"/>
      <c r="AE8" s="351">
        <v>44255</v>
      </c>
      <c r="AF8" s="351"/>
      <c r="AG8" s="351">
        <v>44286</v>
      </c>
      <c r="AH8" s="351"/>
      <c r="AI8" s="351">
        <v>44316</v>
      </c>
      <c r="AJ8" s="351"/>
      <c r="AK8" s="351">
        <v>44347</v>
      </c>
      <c r="AL8" s="351"/>
      <c r="AM8" s="351">
        <v>44377</v>
      </c>
      <c r="AN8" s="351"/>
      <c r="AO8" s="351">
        <v>44408</v>
      </c>
      <c r="AP8" s="351"/>
      <c r="AQ8" s="351">
        <v>44439</v>
      </c>
      <c r="AR8" s="351"/>
      <c r="AS8" s="351">
        <v>44469</v>
      </c>
      <c r="AT8" s="351"/>
      <c r="AU8" s="351">
        <v>44500</v>
      </c>
      <c r="AV8" s="351"/>
      <c r="AW8" s="351">
        <v>44530</v>
      </c>
      <c r="AX8" s="351"/>
      <c r="AY8" s="351">
        <v>44561</v>
      </c>
      <c r="AZ8" s="351"/>
      <c r="BA8" s="351">
        <v>44592</v>
      </c>
      <c r="BB8" s="351"/>
      <c r="BC8" s="351">
        <v>44620</v>
      </c>
      <c r="BD8" s="351"/>
      <c r="BE8" s="351">
        <v>44651</v>
      </c>
      <c r="BF8" s="351"/>
      <c r="BG8" s="149" t="s">
        <v>851</v>
      </c>
      <c r="BH8" s="180" t="str">
        <f>+C12</f>
        <v>PS 03.2 - ČSe - strojně - technologická část</v>
      </c>
      <c r="BI8" s="180"/>
      <c r="BK8" s="151"/>
    </row>
    <row r="9" spans="2:64" s="15" customFormat="1" ht="20.100000000000001" customHeight="1" x14ac:dyDescent="0.2">
      <c r="C9" s="174"/>
      <c r="D9" s="176"/>
      <c r="E9" s="176"/>
      <c r="F9" s="176"/>
      <c r="G9" s="176"/>
      <c r="H9" s="176"/>
      <c r="I9" s="177"/>
      <c r="J9" s="178"/>
      <c r="K9" s="352" t="s">
        <v>837</v>
      </c>
      <c r="L9" s="352"/>
      <c r="M9" s="353" t="s">
        <v>1226</v>
      </c>
      <c r="N9" s="353"/>
      <c r="O9" s="353" t="s">
        <v>853</v>
      </c>
      <c r="P9" s="353"/>
      <c r="Q9" s="353" t="s">
        <v>854</v>
      </c>
      <c r="R9" s="353"/>
      <c r="S9" s="353" t="s">
        <v>855</v>
      </c>
      <c r="T9" s="353"/>
      <c r="U9" s="353" t="s">
        <v>856</v>
      </c>
      <c r="V9" s="353"/>
      <c r="W9" s="353" t="s">
        <v>838</v>
      </c>
      <c r="X9" s="353"/>
      <c r="Y9" s="353" t="s">
        <v>839</v>
      </c>
      <c r="Z9" s="353"/>
      <c r="AA9" s="353" t="s">
        <v>840</v>
      </c>
      <c r="AB9" s="353"/>
      <c r="AC9" s="353" t="s">
        <v>857</v>
      </c>
      <c r="AD9" s="353"/>
      <c r="AE9" s="353" t="s">
        <v>858</v>
      </c>
      <c r="AF9" s="353"/>
      <c r="AG9" s="353" t="s">
        <v>859</v>
      </c>
      <c r="AH9" s="353"/>
      <c r="AI9" s="353" t="s">
        <v>860</v>
      </c>
      <c r="AJ9" s="353"/>
      <c r="AK9" s="353" t="s">
        <v>861</v>
      </c>
      <c r="AL9" s="353"/>
      <c r="AM9" s="353" t="s">
        <v>862</v>
      </c>
      <c r="AN9" s="353"/>
      <c r="AO9" s="353" t="s">
        <v>863</v>
      </c>
      <c r="AP9" s="353"/>
      <c r="AQ9" s="353" t="s">
        <v>864</v>
      </c>
      <c r="AR9" s="353"/>
      <c r="AS9" s="353" t="s">
        <v>865</v>
      </c>
      <c r="AT9" s="353"/>
      <c r="AU9" s="353" t="s">
        <v>841</v>
      </c>
      <c r="AV9" s="353"/>
      <c r="AW9" s="353" t="s">
        <v>842</v>
      </c>
      <c r="AX9" s="353"/>
      <c r="AY9" s="353" t="s">
        <v>843</v>
      </c>
      <c r="AZ9" s="353"/>
      <c r="BA9" s="353" t="s">
        <v>866</v>
      </c>
      <c r="BB9" s="353"/>
      <c r="BC9" s="353" t="s">
        <v>867</v>
      </c>
      <c r="BD9" s="353"/>
      <c r="BE9" s="353" t="s">
        <v>868</v>
      </c>
      <c r="BF9" s="353"/>
      <c r="BG9" s="339" t="s">
        <v>844</v>
      </c>
      <c r="BH9" s="339"/>
      <c r="BI9" s="340"/>
      <c r="BJ9" s="341" t="s">
        <v>845</v>
      </c>
      <c r="BK9" s="341"/>
      <c r="BL9" s="342"/>
    </row>
    <row r="10" spans="2:64" s="15" customFormat="1" ht="24" customHeight="1" x14ac:dyDescent="0.2">
      <c r="C10" s="16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2" t="s">
        <v>874</v>
      </c>
      <c r="L10" s="23" t="s">
        <v>847</v>
      </c>
      <c r="M10" s="354" t="s">
        <v>847</v>
      </c>
      <c r="N10" s="354"/>
      <c r="O10" s="355" t="s">
        <v>847</v>
      </c>
      <c r="P10" s="355"/>
      <c r="Q10" s="24" t="s">
        <v>874</v>
      </c>
      <c r="R10" s="86" t="s">
        <v>847</v>
      </c>
      <c r="S10" s="355" t="s">
        <v>847</v>
      </c>
      <c r="T10" s="355"/>
      <c r="U10" s="355" t="s">
        <v>847</v>
      </c>
      <c r="V10" s="355"/>
      <c r="W10" s="354" t="s">
        <v>847</v>
      </c>
      <c r="X10" s="354"/>
      <c r="Y10" s="354" t="s">
        <v>847</v>
      </c>
      <c r="Z10" s="354"/>
      <c r="AA10" s="354" t="s">
        <v>847</v>
      </c>
      <c r="AB10" s="354"/>
      <c r="AC10" s="354" t="s">
        <v>847</v>
      </c>
      <c r="AD10" s="354"/>
      <c r="AE10" s="354" t="s">
        <v>847</v>
      </c>
      <c r="AF10" s="354"/>
      <c r="AG10" s="354" t="s">
        <v>847</v>
      </c>
      <c r="AH10" s="354"/>
      <c r="AI10" s="354" t="s">
        <v>847</v>
      </c>
      <c r="AJ10" s="354"/>
      <c r="AK10" s="354" t="s">
        <v>847</v>
      </c>
      <c r="AL10" s="354"/>
      <c r="AM10" s="354" t="s">
        <v>847</v>
      </c>
      <c r="AN10" s="354"/>
      <c r="AO10" s="354" t="s">
        <v>847</v>
      </c>
      <c r="AP10" s="354"/>
      <c r="AQ10" s="354" t="s">
        <v>847</v>
      </c>
      <c r="AR10" s="354"/>
      <c r="AS10" s="354" t="s">
        <v>847</v>
      </c>
      <c r="AT10" s="354"/>
      <c r="AU10" s="354" t="s">
        <v>847</v>
      </c>
      <c r="AV10" s="354"/>
      <c r="AW10" s="354" t="s">
        <v>847</v>
      </c>
      <c r="AX10" s="354"/>
      <c r="AY10" s="354" t="s">
        <v>847</v>
      </c>
      <c r="AZ10" s="354"/>
      <c r="BA10" s="354" t="s">
        <v>847</v>
      </c>
      <c r="BB10" s="354"/>
      <c r="BC10" s="354" t="s">
        <v>847</v>
      </c>
      <c r="BD10" s="354"/>
      <c r="BE10" s="354" t="s">
        <v>847</v>
      </c>
      <c r="BF10" s="354"/>
      <c r="BG10" s="25" t="s">
        <v>874</v>
      </c>
      <c r="BH10" s="26" t="s">
        <v>847</v>
      </c>
      <c r="BI10" s="26" t="s">
        <v>915</v>
      </c>
      <c r="BJ10" s="27" t="s">
        <v>874</v>
      </c>
      <c r="BK10" s="28" t="s">
        <v>847</v>
      </c>
      <c r="BL10" s="55" t="s">
        <v>915</v>
      </c>
    </row>
    <row r="11" spans="2:64" s="15" customFormat="1" ht="12.75" x14ac:dyDescent="0.2">
      <c r="D11" s="29"/>
      <c r="E11" s="29"/>
      <c r="F11" s="29"/>
      <c r="G11" s="29"/>
      <c r="H11" s="30"/>
      <c r="I11" s="31"/>
      <c r="J11" s="32"/>
      <c r="K11" s="33"/>
      <c r="L11" s="34"/>
      <c r="M11" s="35"/>
      <c r="N11" s="35"/>
      <c r="O11" s="36"/>
      <c r="P11" s="35"/>
      <c r="Q11" s="35"/>
      <c r="R11" s="35"/>
      <c r="S11" s="35"/>
      <c r="T11" s="35"/>
      <c r="U11" s="35"/>
      <c r="V11" s="35"/>
      <c r="W11" s="37"/>
      <c r="X11" s="37"/>
      <c r="Y11" s="36"/>
      <c r="Z11" s="35"/>
      <c r="AA11" s="37"/>
      <c r="AB11" s="37"/>
      <c r="AC11" s="37"/>
      <c r="AD11" s="37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7"/>
      <c r="BF11" s="37"/>
      <c r="BG11" s="38"/>
      <c r="BH11" s="39"/>
      <c r="BI11" s="39"/>
      <c r="BJ11" s="40"/>
      <c r="BK11" s="41"/>
    </row>
    <row r="12" spans="2:64" s="121" customFormat="1" ht="22.9" customHeight="1" x14ac:dyDescent="0.25">
      <c r="B12" s="120"/>
      <c r="C12" s="152" t="s">
        <v>767</v>
      </c>
      <c r="D12" s="120"/>
      <c r="E12" s="120"/>
      <c r="F12" s="120"/>
      <c r="G12" s="120"/>
      <c r="H12" s="120"/>
      <c r="I12" s="153"/>
      <c r="J12" s="154">
        <f>+SUBTOTAL(9,J13:J23)</f>
        <v>263840.5</v>
      </c>
      <c r="K12" s="155" t="str">
        <f t="shared" ref="K12:K23" si="0">IF(ISBLANK(I12),"",SUM(M12+O12+Q12+S12+U12+W12+Y12+AA12+AC12+AE12+AG12+AI12+AK12+BE12,AM12,AO12,AQ12,AS12,AU12,AW12,AY12,BA12,BC12))</f>
        <v/>
      </c>
      <c r="L12" s="156" t="str">
        <f t="shared" ref="L12:L23" si="1">IF(ISBLANK(I12),"",K12*I12)</f>
        <v/>
      </c>
      <c r="M12" s="157"/>
      <c r="N12" s="158" t="str">
        <f t="shared" ref="N12:N23" si="2">IF(ISBLANK($H12),"",M12*$I12)</f>
        <v/>
      </c>
      <c r="O12" s="157"/>
      <c r="P12" s="158" t="str">
        <f t="shared" ref="P12:P23" si="3">IF(ISBLANK($H12),"",O12*$I12)</f>
        <v/>
      </c>
      <c r="Q12" s="159"/>
      <c r="R12" s="158" t="str">
        <f t="shared" ref="R12:R23" si="4">IF(ISBLANK($H12),"",Q12*$I12)</f>
        <v/>
      </c>
      <c r="S12" s="160"/>
      <c r="T12" s="158" t="str">
        <f t="shared" ref="T12:T23" si="5">IF(ISBLANK($H12),"",S12*$I12)</f>
        <v/>
      </c>
      <c r="U12" s="160"/>
      <c r="V12" s="158" t="str">
        <f t="shared" ref="V12:V23" si="6">IF(ISBLANK($H12),"",U12*$I12)</f>
        <v/>
      </c>
      <c r="W12" s="160"/>
      <c r="X12" s="158" t="str">
        <f t="shared" ref="X12:X23" si="7">IF(ISBLANK($H12),"",W12*$I12)</f>
        <v/>
      </c>
      <c r="Y12" s="160"/>
      <c r="Z12" s="158" t="str">
        <f t="shared" ref="Z12:Z23" si="8">IF(ISBLANK($H12),"",Y12*$I12)</f>
        <v/>
      </c>
      <c r="AA12" s="160"/>
      <c r="AB12" s="158" t="str">
        <f t="shared" ref="AB12:AB23" si="9">IF(ISBLANK($H12),"",AA12*$I12)</f>
        <v/>
      </c>
      <c r="AC12" s="160"/>
      <c r="AD12" s="158" t="str">
        <f t="shared" ref="AD12:AD23" si="10">IF(ISBLANK($H12),"",AC12*$I12)</f>
        <v/>
      </c>
      <c r="AE12" s="160"/>
      <c r="AF12" s="158" t="str">
        <f t="shared" ref="AF12:AF23" si="11">IF(ISBLANK($H12),"",AE12*$I12)</f>
        <v/>
      </c>
      <c r="AG12" s="160"/>
      <c r="AH12" s="158" t="str">
        <f t="shared" ref="AH12:AH23" si="12">IF(ISBLANK($H12),"",AG12*$I12)</f>
        <v/>
      </c>
      <c r="AI12" s="160"/>
      <c r="AJ12" s="158" t="str">
        <f t="shared" ref="AJ12:AJ23" si="13">IF(ISBLANK($H12),"",AI12*$I12)</f>
        <v/>
      </c>
      <c r="AK12" s="160"/>
      <c r="AL12" s="158" t="str">
        <f t="shared" ref="AL12:AL23" si="14">IF(ISBLANK($H12),"",AK12*$I12)</f>
        <v/>
      </c>
      <c r="AM12" s="160"/>
      <c r="AN12" s="158" t="str">
        <f t="shared" ref="AN12:AN23" si="15">IF(ISBLANK($H12),"",AM12*$I12)</f>
        <v/>
      </c>
      <c r="AO12" s="160"/>
      <c r="AP12" s="158" t="str">
        <f t="shared" ref="AP12:AP23" si="16">IF(ISBLANK($H12),"",AO12*$I12)</f>
        <v/>
      </c>
      <c r="AQ12" s="160"/>
      <c r="AR12" s="158" t="str">
        <f t="shared" ref="AR12:AR23" si="17">IF(ISBLANK($H12),"",AQ12*$I12)</f>
        <v/>
      </c>
      <c r="AS12" s="160"/>
      <c r="AT12" s="158" t="str">
        <f t="shared" ref="AT12:AT23" si="18">IF(ISBLANK($H12),"",AS12*$I12)</f>
        <v/>
      </c>
      <c r="AU12" s="160"/>
      <c r="AV12" s="158" t="str">
        <f t="shared" ref="AV12:AV23" si="19">IF(ISBLANK($H12),"",AU12*$I12)</f>
        <v/>
      </c>
      <c r="AW12" s="160"/>
      <c r="AX12" s="158" t="str">
        <f t="shared" ref="AX12:AX23" si="20">IF(ISBLANK($H12),"",AW12*$I12)</f>
        <v/>
      </c>
      <c r="AY12" s="160"/>
      <c r="AZ12" s="158" t="str">
        <f t="shared" ref="AZ12:AZ23" si="21">IF(ISBLANK($H12),"",AY12*$I12)</f>
        <v/>
      </c>
      <c r="BA12" s="160"/>
      <c r="BB12" s="158" t="str">
        <f t="shared" ref="BB12:BB23" si="22">IF(ISBLANK($H12),"",BA12*$I12)</f>
        <v/>
      </c>
      <c r="BC12" s="160"/>
      <c r="BD12" s="158" t="str">
        <f t="shared" ref="BD12:BD23" si="23">IF(ISBLANK($H12),"",BC12*$I12)</f>
        <v/>
      </c>
      <c r="BE12" s="160"/>
      <c r="BF12" s="158" t="str">
        <f t="shared" ref="BF12:BF23" si="24">IF(ISBLANK($H12),"",BE12*$I12)</f>
        <v/>
      </c>
      <c r="BG12" s="161" t="str">
        <f t="shared" ref="BG12:BG23" si="25">IF(ISBLANK(H12),"",SUM(M12+O12+Q12+S12+U12+W12+Y12+AA12+AC12+AE12+AG12+AI12+AK12+BE12+AM12,AO12,AQ12,AS12+AU12,AW12,AY12,BA12,BC12,BE12))</f>
        <v/>
      </c>
      <c r="BH12" s="162" t="str">
        <f t="shared" ref="BH12:BH23" si="26">IF(ISBLANK(H12),"",SUM(N12+P12+R12+T12+V12+X12+Z12+AB12+AD12+AF12+AH12+AJ12+AL12+BF12,BD12,BB12,AZ12,AX12,AV12,AT12,AR12,AP12,AN12))</f>
        <v/>
      </c>
      <c r="BI12" s="162"/>
      <c r="BJ12" s="163" t="str">
        <f t="shared" ref="BJ12:BJ23" si="27">IF(ISBLANK(H12),"",H12-BG12)</f>
        <v/>
      </c>
      <c r="BK12" s="164" t="str">
        <f t="shared" ref="BK12:BK23" si="28">IF(ISBLANK(H12),"",J12-BH12)</f>
        <v/>
      </c>
    </row>
    <row r="13" spans="2:64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+SUBTOTAL(9,J14:J23)</f>
        <v>263840.5</v>
      </c>
      <c r="K13" s="155" t="str">
        <f t="shared" si="0"/>
        <v/>
      </c>
      <c r="L13" s="156" t="str">
        <f t="shared" si="1"/>
        <v/>
      </c>
      <c r="M13" s="157"/>
      <c r="N13" s="158" t="str">
        <f t="shared" si="2"/>
        <v/>
      </c>
      <c r="O13" s="157"/>
      <c r="P13" s="158" t="str">
        <f t="shared" si="3"/>
        <v/>
      </c>
      <c r="Q13" s="159"/>
      <c r="R13" s="158" t="str">
        <f t="shared" si="4"/>
        <v/>
      </c>
      <c r="S13" s="160"/>
      <c r="T13" s="158" t="str">
        <f t="shared" si="5"/>
        <v/>
      </c>
      <c r="U13" s="160"/>
      <c r="V13" s="158" t="str">
        <f t="shared" si="6"/>
        <v/>
      </c>
      <c r="W13" s="160"/>
      <c r="X13" s="158" t="str">
        <f t="shared" si="7"/>
        <v/>
      </c>
      <c r="Y13" s="160"/>
      <c r="Z13" s="158" t="str">
        <f t="shared" si="8"/>
        <v/>
      </c>
      <c r="AA13" s="160"/>
      <c r="AB13" s="158" t="str">
        <f t="shared" si="9"/>
        <v/>
      </c>
      <c r="AC13" s="160"/>
      <c r="AD13" s="158" t="str">
        <f t="shared" si="10"/>
        <v/>
      </c>
      <c r="AE13" s="160"/>
      <c r="AF13" s="158" t="str">
        <f t="shared" si="11"/>
        <v/>
      </c>
      <c r="AG13" s="160"/>
      <c r="AH13" s="158" t="str">
        <f t="shared" si="12"/>
        <v/>
      </c>
      <c r="AI13" s="160"/>
      <c r="AJ13" s="158" t="str">
        <f t="shared" si="13"/>
        <v/>
      </c>
      <c r="AK13" s="160"/>
      <c r="AL13" s="158" t="str">
        <f t="shared" si="14"/>
        <v/>
      </c>
      <c r="AM13" s="160"/>
      <c r="AN13" s="158" t="str">
        <f t="shared" si="15"/>
        <v/>
      </c>
      <c r="AO13" s="160"/>
      <c r="AP13" s="158" t="str">
        <f t="shared" si="16"/>
        <v/>
      </c>
      <c r="AQ13" s="160"/>
      <c r="AR13" s="158" t="str">
        <f t="shared" si="17"/>
        <v/>
      </c>
      <c r="AS13" s="160"/>
      <c r="AT13" s="158" t="str">
        <f t="shared" si="18"/>
        <v/>
      </c>
      <c r="AU13" s="160"/>
      <c r="AV13" s="158" t="str">
        <f t="shared" si="19"/>
        <v/>
      </c>
      <c r="AW13" s="160"/>
      <c r="AX13" s="158" t="str">
        <f t="shared" si="20"/>
        <v/>
      </c>
      <c r="AY13" s="160"/>
      <c r="AZ13" s="158" t="str">
        <f t="shared" si="21"/>
        <v/>
      </c>
      <c r="BA13" s="160"/>
      <c r="BB13" s="158" t="str">
        <f t="shared" si="22"/>
        <v/>
      </c>
      <c r="BC13" s="160"/>
      <c r="BD13" s="158" t="str">
        <f t="shared" si="23"/>
        <v/>
      </c>
      <c r="BE13" s="160"/>
      <c r="BF13" s="158" t="str">
        <f t="shared" si="24"/>
        <v/>
      </c>
      <c r="BG13" s="161" t="str">
        <f t="shared" si="25"/>
        <v/>
      </c>
      <c r="BH13" s="162" t="str">
        <f t="shared" si="26"/>
        <v/>
      </c>
      <c r="BI13" s="162"/>
      <c r="BJ13" s="163" t="str">
        <f t="shared" si="27"/>
        <v/>
      </c>
      <c r="BK13" s="164" t="str">
        <f t="shared" si="28"/>
        <v/>
      </c>
    </row>
    <row r="14" spans="2:64" s="170" customFormat="1" ht="22.9" customHeight="1" x14ac:dyDescent="0.2">
      <c r="B14" s="165"/>
      <c r="C14" s="165"/>
      <c r="D14" s="166" t="s">
        <v>4</v>
      </c>
      <c r="E14" s="171" t="s">
        <v>115</v>
      </c>
      <c r="F14" s="171" t="s">
        <v>288</v>
      </c>
      <c r="G14" s="165"/>
      <c r="H14" s="165"/>
      <c r="I14" s="168"/>
      <c r="J14" s="172">
        <f>+SUBTOTAL(9,J15:J23)</f>
        <v>263840.5</v>
      </c>
      <c r="K14" s="155" t="str">
        <f t="shared" si="0"/>
        <v/>
      </c>
      <c r="L14" s="156" t="str">
        <f t="shared" si="1"/>
        <v/>
      </c>
      <c r="M14" s="157"/>
      <c r="N14" s="158" t="str">
        <f t="shared" si="2"/>
        <v/>
      </c>
      <c r="O14" s="157"/>
      <c r="P14" s="158" t="str">
        <f t="shared" si="3"/>
        <v/>
      </c>
      <c r="Q14" s="159"/>
      <c r="R14" s="158" t="str">
        <f t="shared" si="4"/>
        <v/>
      </c>
      <c r="S14" s="160"/>
      <c r="T14" s="158" t="str">
        <f t="shared" si="5"/>
        <v/>
      </c>
      <c r="U14" s="160"/>
      <c r="V14" s="158" t="str">
        <f t="shared" si="6"/>
        <v/>
      </c>
      <c r="W14" s="160"/>
      <c r="X14" s="158" t="str">
        <f t="shared" si="7"/>
        <v/>
      </c>
      <c r="Y14" s="160"/>
      <c r="Z14" s="158" t="str">
        <f t="shared" si="8"/>
        <v/>
      </c>
      <c r="AA14" s="160"/>
      <c r="AB14" s="158" t="str">
        <f t="shared" si="9"/>
        <v/>
      </c>
      <c r="AC14" s="160"/>
      <c r="AD14" s="158" t="str">
        <f t="shared" si="10"/>
        <v/>
      </c>
      <c r="AE14" s="160"/>
      <c r="AF14" s="158" t="str">
        <f t="shared" si="11"/>
        <v/>
      </c>
      <c r="AG14" s="160"/>
      <c r="AH14" s="158" t="str">
        <f t="shared" si="12"/>
        <v/>
      </c>
      <c r="AI14" s="160"/>
      <c r="AJ14" s="158" t="str">
        <f t="shared" si="13"/>
        <v/>
      </c>
      <c r="AK14" s="160"/>
      <c r="AL14" s="158" t="str">
        <f t="shared" si="14"/>
        <v/>
      </c>
      <c r="AM14" s="160"/>
      <c r="AN14" s="158" t="str">
        <f t="shared" si="15"/>
        <v/>
      </c>
      <c r="AO14" s="160"/>
      <c r="AP14" s="158" t="str">
        <f t="shared" si="16"/>
        <v/>
      </c>
      <c r="AQ14" s="160"/>
      <c r="AR14" s="158" t="str">
        <f t="shared" si="17"/>
        <v/>
      </c>
      <c r="AS14" s="160"/>
      <c r="AT14" s="158" t="str">
        <f t="shared" si="18"/>
        <v/>
      </c>
      <c r="AU14" s="160"/>
      <c r="AV14" s="158" t="str">
        <f t="shared" si="19"/>
        <v/>
      </c>
      <c r="AW14" s="160"/>
      <c r="AX14" s="158" t="str">
        <f t="shared" si="20"/>
        <v/>
      </c>
      <c r="AY14" s="160"/>
      <c r="AZ14" s="158" t="str">
        <f t="shared" si="21"/>
        <v/>
      </c>
      <c r="BA14" s="160"/>
      <c r="BB14" s="158" t="str">
        <f t="shared" si="22"/>
        <v/>
      </c>
      <c r="BC14" s="160"/>
      <c r="BD14" s="158" t="str">
        <f t="shared" si="23"/>
        <v/>
      </c>
      <c r="BE14" s="160"/>
      <c r="BF14" s="158" t="str">
        <f t="shared" si="24"/>
        <v/>
      </c>
      <c r="BG14" s="161" t="str">
        <f t="shared" si="25"/>
        <v/>
      </c>
      <c r="BH14" s="162" t="str">
        <f t="shared" si="26"/>
        <v/>
      </c>
      <c r="BI14" s="162"/>
      <c r="BJ14" s="163" t="str">
        <f t="shared" si="27"/>
        <v/>
      </c>
      <c r="BK14" s="164" t="str">
        <f t="shared" si="28"/>
        <v/>
      </c>
    </row>
    <row r="15" spans="2:64" s="121" customFormat="1" ht="16.5" customHeight="1" x14ac:dyDescent="0.2">
      <c r="B15" s="120"/>
      <c r="C15" s="56" t="s">
        <v>7</v>
      </c>
      <c r="D15" s="56" t="s">
        <v>96</v>
      </c>
      <c r="E15" s="57" t="s">
        <v>768</v>
      </c>
      <c r="F15" s="58" t="s">
        <v>769</v>
      </c>
      <c r="G15" s="59" t="s">
        <v>578</v>
      </c>
      <c r="H15" s="60">
        <v>2</v>
      </c>
      <c r="I15" s="61">
        <v>94087.51</v>
      </c>
      <c r="J15" s="60">
        <v>188175</v>
      </c>
      <c r="K15" s="62">
        <f t="shared" si="0"/>
        <v>0</v>
      </c>
      <c r="L15" s="63">
        <f t="shared" si="1"/>
        <v>0</v>
      </c>
      <c r="M15" s="64"/>
      <c r="N15" s="65">
        <f t="shared" si="2"/>
        <v>0</v>
      </c>
      <c r="O15" s="64"/>
      <c r="P15" s="65">
        <f t="shared" si="3"/>
        <v>0</v>
      </c>
      <c r="Q15" s="66"/>
      <c r="R15" s="65">
        <f t="shared" si="4"/>
        <v>0</v>
      </c>
      <c r="S15" s="67"/>
      <c r="T15" s="65">
        <f t="shared" si="5"/>
        <v>0</v>
      </c>
      <c r="U15" s="67"/>
      <c r="V15" s="65">
        <f t="shared" si="6"/>
        <v>0</v>
      </c>
      <c r="W15" s="67"/>
      <c r="X15" s="65">
        <f t="shared" si="7"/>
        <v>0</v>
      </c>
      <c r="Y15" s="67"/>
      <c r="Z15" s="65">
        <f t="shared" si="8"/>
        <v>0</v>
      </c>
      <c r="AA15" s="67"/>
      <c r="AB15" s="65">
        <f t="shared" si="9"/>
        <v>0</v>
      </c>
      <c r="AC15" s="67"/>
      <c r="AD15" s="65">
        <f t="shared" si="10"/>
        <v>0</v>
      </c>
      <c r="AE15" s="67"/>
      <c r="AF15" s="65">
        <f t="shared" si="11"/>
        <v>0</v>
      </c>
      <c r="AG15" s="67"/>
      <c r="AH15" s="65">
        <f t="shared" si="12"/>
        <v>0</v>
      </c>
      <c r="AI15" s="67"/>
      <c r="AJ15" s="65">
        <f t="shared" si="13"/>
        <v>0</v>
      </c>
      <c r="AK15" s="67"/>
      <c r="AL15" s="65">
        <f t="shared" si="14"/>
        <v>0</v>
      </c>
      <c r="AM15" s="67"/>
      <c r="AN15" s="65">
        <f t="shared" si="15"/>
        <v>0</v>
      </c>
      <c r="AO15" s="67"/>
      <c r="AP15" s="65">
        <f t="shared" si="16"/>
        <v>0</v>
      </c>
      <c r="AQ15" s="67"/>
      <c r="AR15" s="65">
        <f t="shared" si="17"/>
        <v>0</v>
      </c>
      <c r="AS15" s="67"/>
      <c r="AT15" s="65">
        <f t="shared" si="18"/>
        <v>0</v>
      </c>
      <c r="AU15" s="67"/>
      <c r="AV15" s="65">
        <f t="shared" si="19"/>
        <v>0</v>
      </c>
      <c r="AW15" s="67"/>
      <c r="AX15" s="65">
        <f t="shared" si="20"/>
        <v>0</v>
      </c>
      <c r="AY15" s="67"/>
      <c r="AZ15" s="65">
        <f t="shared" si="21"/>
        <v>0</v>
      </c>
      <c r="BA15" s="67"/>
      <c r="BB15" s="65">
        <f t="shared" si="22"/>
        <v>0</v>
      </c>
      <c r="BC15" s="67"/>
      <c r="BD15" s="65">
        <f t="shared" si="23"/>
        <v>0</v>
      </c>
      <c r="BE15" s="67"/>
      <c r="BF15" s="65">
        <f t="shared" si="24"/>
        <v>0</v>
      </c>
      <c r="BG15" s="68">
        <f t="shared" si="25"/>
        <v>0</v>
      </c>
      <c r="BH15" s="69">
        <f t="shared" si="26"/>
        <v>0</v>
      </c>
      <c r="BI15" s="70">
        <f>IFERROR(IF($J15=0,0,BH15/$J15),"")</f>
        <v>0</v>
      </c>
      <c r="BJ15" s="71">
        <f t="shared" si="27"/>
        <v>2</v>
      </c>
      <c r="BK15" s="72">
        <f t="shared" si="28"/>
        <v>188175</v>
      </c>
      <c r="BL15" s="179">
        <f>IFERROR(IF($J15=0,0,BK15/$J15),"")</f>
        <v>1</v>
      </c>
    </row>
    <row r="16" spans="2:64" s="121" customFormat="1" ht="16.5" customHeight="1" x14ac:dyDescent="0.2">
      <c r="B16" s="120"/>
      <c r="C16" s="56" t="s">
        <v>8</v>
      </c>
      <c r="D16" s="56" t="s">
        <v>96</v>
      </c>
      <c r="E16" s="57" t="s">
        <v>770</v>
      </c>
      <c r="F16" s="58" t="s">
        <v>771</v>
      </c>
      <c r="G16" s="59" t="s">
        <v>578</v>
      </c>
      <c r="H16" s="60">
        <v>2</v>
      </c>
      <c r="I16" s="61">
        <v>7412.18</v>
      </c>
      <c r="J16" s="60">
        <v>14824.4</v>
      </c>
      <c r="K16" s="62">
        <f t="shared" si="0"/>
        <v>0</v>
      </c>
      <c r="L16" s="63">
        <f t="shared" si="1"/>
        <v>0</v>
      </c>
      <c r="M16" s="64"/>
      <c r="N16" s="65">
        <f t="shared" si="2"/>
        <v>0</v>
      </c>
      <c r="O16" s="64"/>
      <c r="P16" s="65">
        <f t="shared" si="3"/>
        <v>0</v>
      </c>
      <c r="Q16" s="66"/>
      <c r="R16" s="65">
        <f t="shared" si="4"/>
        <v>0</v>
      </c>
      <c r="S16" s="67"/>
      <c r="T16" s="65">
        <f t="shared" si="5"/>
        <v>0</v>
      </c>
      <c r="U16" s="67"/>
      <c r="V16" s="65">
        <f t="shared" si="6"/>
        <v>0</v>
      </c>
      <c r="W16" s="67"/>
      <c r="X16" s="65">
        <f t="shared" si="7"/>
        <v>0</v>
      </c>
      <c r="Y16" s="67"/>
      <c r="Z16" s="65">
        <f t="shared" si="8"/>
        <v>0</v>
      </c>
      <c r="AA16" s="67"/>
      <c r="AB16" s="65">
        <f t="shared" si="9"/>
        <v>0</v>
      </c>
      <c r="AC16" s="67"/>
      <c r="AD16" s="65">
        <f t="shared" si="10"/>
        <v>0</v>
      </c>
      <c r="AE16" s="67"/>
      <c r="AF16" s="65">
        <f t="shared" si="11"/>
        <v>0</v>
      </c>
      <c r="AG16" s="67"/>
      <c r="AH16" s="65">
        <f t="shared" si="12"/>
        <v>0</v>
      </c>
      <c r="AI16" s="67"/>
      <c r="AJ16" s="65">
        <f t="shared" si="13"/>
        <v>0</v>
      </c>
      <c r="AK16" s="67"/>
      <c r="AL16" s="65">
        <f t="shared" si="14"/>
        <v>0</v>
      </c>
      <c r="AM16" s="67"/>
      <c r="AN16" s="65">
        <f t="shared" si="15"/>
        <v>0</v>
      </c>
      <c r="AO16" s="67"/>
      <c r="AP16" s="65">
        <f t="shared" si="16"/>
        <v>0</v>
      </c>
      <c r="AQ16" s="67"/>
      <c r="AR16" s="65">
        <f t="shared" si="17"/>
        <v>0</v>
      </c>
      <c r="AS16" s="67"/>
      <c r="AT16" s="65">
        <f t="shared" si="18"/>
        <v>0</v>
      </c>
      <c r="AU16" s="67"/>
      <c r="AV16" s="65">
        <f t="shared" si="19"/>
        <v>0</v>
      </c>
      <c r="AW16" s="67"/>
      <c r="AX16" s="65">
        <f t="shared" si="20"/>
        <v>0</v>
      </c>
      <c r="AY16" s="67"/>
      <c r="AZ16" s="65">
        <f t="shared" si="21"/>
        <v>0</v>
      </c>
      <c r="BA16" s="67"/>
      <c r="BB16" s="65">
        <f t="shared" si="22"/>
        <v>0</v>
      </c>
      <c r="BC16" s="67"/>
      <c r="BD16" s="65">
        <f t="shared" si="23"/>
        <v>0</v>
      </c>
      <c r="BE16" s="67"/>
      <c r="BF16" s="65">
        <f t="shared" si="24"/>
        <v>0</v>
      </c>
      <c r="BG16" s="68">
        <f t="shared" si="25"/>
        <v>0</v>
      </c>
      <c r="BH16" s="69">
        <f t="shared" si="26"/>
        <v>0</v>
      </c>
      <c r="BI16" s="70">
        <f t="shared" ref="BI16:BI23" si="29">IFERROR(IF($J16=0,0,BH16/$J16),"")</f>
        <v>0</v>
      </c>
      <c r="BJ16" s="71">
        <f t="shared" si="27"/>
        <v>2</v>
      </c>
      <c r="BK16" s="72">
        <f t="shared" si="28"/>
        <v>14824.4</v>
      </c>
      <c r="BL16" s="179">
        <f t="shared" ref="BL16:BL23" si="30">IFERROR(IF($J16=0,0,BK16/$J16),"")</f>
        <v>1</v>
      </c>
    </row>
    <row r="17" spans="2:64" s="121" customFormat="1" ht="16.5" customHeight="1" x14ac:dyDescent="0.2">
      <c r="B17" s="120"/>
      <c r="C17" s="56" t="s">
        <v>13</v>
      </c>
      <c r="D17" s="56" t="s">
        <v>96</v>
      </c>
      <c r="E17" s="57" t="s">
        <v>772</v>
      </c>
      <c r="F17" s="58" t="s">
        <v>773</v>
      </c>
      <c r="G17" s="59" t="s">
        <v>578</v>
      </c>
      <c r="H17" s="60">
        <v>2</v>
      </c>
      <c r="I17" s="61">
        <v>5740.93</v>
      </c>
      <c r="J17" s="60">
        <v>11481.9</v>
      </c>
      <c r="K17" s="62">
        <f t="shared" si="0"/>
        <v>0</v>
      </c>
      <c r="L17" s="63">
        <f t="shared" si="1"/>
        <v>0</v>
      </c>
      <c r="M17" s="64"/>
      <c r="N17" s="65">
        <f t="shared" si="2"/>
        <v>0</v>
      </c>
      <c r="O17" s="64"/>
      <c r="P17" s="65">
        <f t="shared" si="3"/>
        <v>0</v>
      </c>
      <c r="Q17" s="66"/>
      <c r="R17" s="65">
        <f t="shared" si="4"/>
        <v>0</v>
      </c>
      <c r="S17" s="67"/>
      <c r="T17" s="65">
        <f t="shared" si="5"/>
        <v>0</v>
      </c>
      <c r="U17" s="67"/>
      <c r="V17" s="65">
        <f t="shared" si="6"/>
        <v>0</v>
      </c>
      <c r="W17" s="67"/>
      <c r="X17" s="65">
        <f t="shared" si="7"/>
        <v>0</v>
      </c>
      <c r="Y17" s="67"/>
      <c r="Z17" s="65">
        <f t="shared" si="8"/>
        <v>0</v>
      </c>
      <c r="AA17" s="67"/>
      <c r="AB17" s="65">
        <f t="shared" si="9"/>
        <v>0</v>
      </c>
      <c r="AC17" s="67"/>
      <c r="AD17" s="65">
        <f t="shared" si="10"/>
        <v>0</v>
      </c>
      <c r="AE17" s="67"/>
      <c r="AF17" s="65">
        <f t="shared" si="11"/>
        <v>0</v>
      </c>
      <c r="AG17" s="67"/>
      <c r="AH17" s="65">
        <f t="shared" si="12"/>
        <v>0</v>
      </c>
      <c r="AI17" s="67"/>
      <c r="AJ17" s="65">
        <f t="shared" si="13"/>
        <v>0</v>
      </c>
      <c r="AK17" s="67"/>
      <c r="AL17" s="65">
        <f t="shared" si="14"/>
        <v>0</v>
      </c>
      <c r="AM17" s="67"/>
      <c r="AN17" s="65">
        <f t="shared" si="15"/>
        <v>0</v>
      </c>
      <c r="AO17" s="67"/>
      <c r="AP17" s="65">
        <f t="shared" si="16"/>
        <v>0</v>
      </c>
      <c r="AQ17" s="67"/>
      <c r="AR17" s="65">
        <f t="shared" si="17"/>
        <v>0</v>
      </c>
      <c r="AS17" s="67"/>
      <c r="AT17" s="65">
        <f t="shared" si="18"/>
        <v>0</v>
      </c>
      <c r="AU17" s="67"/>
      <c r="AV17" s="65">
        <f t="shared" si="19"/>
        <v>0</v>
      </c>
      <c r="AW17" s="67"/>
      <c r="AX17" s="65">
        <f t="shared" si="20"/>
        <v>0</v>
      </c>
      <c r="AY17" s="67"/>
      <c r="AZ17" s="65">
        <f t="shared" si="21"/>
        <v>0</v>
      </c>
      <c r="BA17" s="67"/>
      <c r="BB17" s="65">
        <f t="shared" si="22"/>
        <v>0</v>
      </c>
      <c r="BC17" s="67"/>
      <c r="BD17" s="65">
        <f t="shared" si="23"/>
        <v>0</v>
      </c>
      <c r="BE17" s="67"/>
      <c r="BF17" s="65">
        <f t="shared" si="24"/>
        <v>0</v>
      </c>
      <c r="BG17" s="68">
        <f t="shared" si="25"/>
        <v>0</v>
      </c>
      <c r="BH17" s="69">
        <f t="shared" si="26"/>
        <v>0</v>
      </c>
      <c r="BI17" s="70">
        <f t="shared" si="29"/>
        <v>0</v>
      </c>
      <c r="BJ17" s="71">
        <f t="shared" si="27"/>
        <v>2</v>
      </c>
      <c r="BK17" s="72">
        <f t="shared" si="28"/>
        <v>11481.9</v>
      </c>
      <c r="BL17" s="179">
        <f t="shared" si="30"/>
        <v>1</v>
      </c>
    </row>
    <row r="18" spans="2:64" s="121" customFormat="1" ht="16.5" customHeight="1" x14ac:dyDescent="0.2">
      <c r="B18" s="120"/>
      <c r="C18" s="56" t="s">
        <v>100</v>
      </c>
      <c r="D18" s="56" t="s">
        <v>96</v>
      </c>
      <c r="E18" s="57" t="s">
        <v>774</v>
      </c>
      <c r="F18" s="58" t="s">
        <v>775</v>
      </c>
      <c r="G18" s="59" t="s">
        <v>776</v>
      </c>
      <c r="H18" s="60">
        <v>1</v>
      </c>
      <c r="I18" s="61">
        <v>21458.33</v>
      </c>
      <c r="J18" s="60">
        <v>21458.3</v>
      </c>
      <c r="K18" s="62">
        <f t="shared" si="0"/>
        <v>0</v>
      </c>
      <c r="L18" s="63">
        <f t="shared" si="1"/>
        <v>0</v>
      </c>
      <c r="M18" s="64"/>
      <c r="N18" s="65">
        <f t="shared" si="2"/>
        <v>0</v>
      </c>
      <c r="O18" s="64"/>
      <c r="P18" s="65">
        <f t="shared" si="3"/>
        <v>0</v>
      </c>
      <c r="Q18" s="66"/>
      <c r="R18" s="65">
        <f t="shared" si="4"/>
        <v>0</v>
      </c>
      <c r="S18" s="67"/>
      <c r="T18" s="65">
        <f t="shared" si="5"/>
        <v>0</v>
      </c>
      <c r="U18" s="67"/>
      <c r="V18" s="65">
        <f t="shared" si="6"/>
        <v>0</v>
      </c>
      <c r="W18" s="67"/>
      <c r="X18" s="65">
        <f t="shared" si="7"/>
        <v>0</v>
      </c>
      <c r="Y18" s="67"/>
      <c r="Z18" s="65">
        <f t="shared" si="8"/>
        <v>0</v>
      </c>
      <c r="AA18" s="67"/>
      <c r="AB18" s="65">
        <f t="shared" si="9"/>
        <v>0</v>
      </c>
      <c r="AC18" s="67"/>
      <c r="AD18" s="65">
        <f t="shared" si="10"/>
        <v>0</v>
      </c>
      <c r="AE18" s="67"/>
      <c r="AF18" s="65">
        <f t="shared" si="11"/>
        <v>0</v>
      </c>
      <c r="AG18" s="67"/>
      <c r="AH18" s="65">
        <f t="shared" si="12"/>
        <v>0</v>
      </c>
      <c r="AI18" s="67"/>
      <c r="AJ18" s="65">
        <f t="shared" si="13"/>
        <v>0</v>
      </c>
      <c r="AK18" s="67"/>
      <c r="AL18" s="65">
        <f t="shared" si="14"/>
        <v>0</v>
      </c>
      <c r="AM18" s="67"/>
      <c r="AN18" s="65">
        <f t="shared" si="15"/>
        <v>0</v>
      </c>
      <c r="AO18" s="67"/>
      <c r="AP18" s="65">
        <f t="shared" si="16"/>
        <v>0</v>
      </c>
      <c r="AQ18" s="67"/>
      <c r="AR18" s="65">
        <f t="shared" si="17"/>
        <v>0</v>
      </c>
      <c r="AS18" s="67"/>
      <c r="AT18" s="65">
        <f t="shared" si="18"/>
        <v>0</v>
      </c>
      <c r="AU18" s="67"/>
      <c r="AV18" s="65">
        <f t="shared" si="19"/>
        <v>0</v>
      </c>
      <c r="AW18" s="67"/>
      <c r="AX18" s="65">
        <f t="shared" si="20"/>
        <v>0</v>
      </c>
      <c r="AY18" s="67"/>
      <c r="AZ18" s="65">
        <f t="shared" si="21"/>
        <v>0</v>
      </c>
      <c r="BA18" s="67"/>
      <c r="BB18" s="65">
        <f t="shared" si="22"/>
        <v>0</v>
      </c>
      <c r="BC18" s="67"/>
      <c r="BD18" s="65">
        <f t="shared" si="23"/>
        <v>0</v>
      </c>
      <c r="BE18" s="67"/>
      <c r="BF18" s="65">
        <f t="shared" si="24"/>
        <v>0</v>
      </c>
      <c r="BG18" s="68">
        <f t="shared" si="25"/>
        <v>0</v>
      </c>
      <c r="BH18" s="69">
        <f t="shared" si="26"/>
        <v>0</v>
      </c>
      <c r="BI18" s="70">
        <f t="shared" si="29"/>
        <v>0</v>
      </c>
      <c r="BJ18" s="71">
        <f t="shared" si="27"/>
        <v>1</v>
      </c>
      <c r="BK18" s="72">
        <f t="shared" si="28"/>
        <v>21458.3</v>
      </c>
      <c r="BL18" s="179">
        <f t="shared" si="30"/>
        <v>1</v>
      </c>
    </row>
    <row r="19" spans="2:64" s="121" customFormat="1" ht="16.5" customHeight="1" x14ac:dyDescent="0.2">
      <c r="B19" s="120"/>
      <c r="C19" s="56" t="s">
        <v>105</v>
      </c>
      <c r="D19" s="56" t="s">
        <v>96</v>
      </c>
      <c r="E19" s="57" t="s">
        <v>777</v>
      </c>
      <c r="F19" s="58" t="s">
        <v>778</v>
      </c>
      <c r="G19" s="59" t="s">
        <v>776</v>
      </c>
      <c r="H19" s="60">
        <v>1</v>
      </c>
      <c r="I19" s="61">
        <v>4567.2299999999996</v>
      </c>
      <c r="J19" s="60">
        <v>4567.2</v>
      </c>
      <c r="K19" s="62">
        <f t="shared" si="0"/>
        <v>0</v>
      </c>
      <c r="L19" s="63">
        <f t="shared" si="1"/>
        <v>0</v>
      </c>
      <c r="M19" s="64"/>
      <c r="N19" s="65">
        <f t="shared" si="2"/>
        <v>0</v>
      </c>
      <c r="O19" s="64"/>
      <c r="P19" s="65">
        <f t="shared" si="3"/>
        <v>0</v>
      </c>
      <c r="Q19" s="66"/>
      <c r="R19" s="65">
        <f t="shared" si="4"/>
        <v>0</v>
      </c>
      <c r="S19" s="67"/>
      <c r="T19" s="65">
        <f t="shared" si="5"/>
        <v>0</v>
      </c>
      <c r="U19" s="67"/>
      <c r="V19" s="65">
        <f t="shared" si="6"/>
        <v>0</v>
      </c>
      <c r="W19" s="67"/>
      <c r="X19" s="65">
        <f t="shared" si="7"/>
        <v>0</v>
      </c>
      <c r="Y19" s="67"/>
      <c r="Z19" s="65">
        <f t="shared" si="8"/>
        <v>0</v>
      </c>
      <c r="AA19" s="67"/>
      <c r="AB19" s="65">
        <f t="shared" si="9"/>
        <v>0</v>
      </c>
      <c r="AC19" s="67"/>
      <c r="AD19" s="65">
        <f t="shared" si="10"/>
        <v>0</v>
      </c>
      <c r="AE19" s="67"/>
      <c r="AF19" s="65">
        <f t="shared" si="11"/>
        <v>0</v>
      </c>
      <c r="AG19" s="67"/>
      <c r="AH19" s="65">
        <f t="shared" si="12"/>
        <v>0</v>
      </c>
      <c r="AI19" s="67"/>
      <c r="AJ19" s="65">
        <f t="shared" si="13"/>
        <v>0</v>
      </c>
      <c r="AK19" s="67"/>
      <c r="AL19" s="65">
        <f t="shared" si="14"/>
        <v>0</v>
      </c>
      <c r="AM19" s="67"/>
      <c r="AN19" s="65">
        <f t="shared" si="15"/>
        <v>0</v>
      </c>
      <c r="AO19" s="67"/>
      <c r="AP19" s="65">
        <f t="shared" si="16"/>
        <v>0</v>
      </c>
      <c r="AQ19" s="67"/>
      <c r="AR19" s="65">
        <f t="shared" si="17"/>
        <v>0</v>
      </c>
      <c r="AS19" s="67"/>
      <c r="AT19" s="65">
        <f t="shared" si="18"/>
        <v>0</v>
      </c>
      <c r="AU19" s="67"/>
      <c r="AV19" s="65">
        <f t="shared" si="19"/>
        <v>0</v>
      </c>
      <c r="AW19" s="67"/>
      <c r="AX19" s="65">
        <f t="shared" si="20"/>
        <v>0</v>
      </c>
      <c r="AY19" s="67"/>
      <c r="AZ19" s="65">
        <f t="shared" si="21"/>
        <v>0</v>
      </c>
      <c r="BA19" s="67"/>
      <c r="BB19" s="65">
        <f t="shared" si="22"/>
        <v>0</v>
      </c>
      <c r="BC19" s="67"/>
      <c r="BD19" s="65">
        <f t="shared" si="23"/>
        <v>0</v>
      </c>
      <c r="BE19" s="67"/>
      <c r="BF19" s="65">
        <f t="shared" si="24"/>
        <v>0</v>
      </c>
      <c r="BG19" s="68">
        <f t="shared" si="25"/>
        <v>0</v>
      </c>
      <c r="BH19" s="69">
        <f t="shared" si="26"/>
        <v>0</v>
      </c>
      <c r="BI19" s="70">
        <f t="shared" si="29"/>
        <v>0</v>
      </c>
      <c r="BJ19" s="71">
        <f t="shared" si="27"/>
        <v>1</v>
      </c>
      <c r="BK19" s="72">
        <f t="shared" si="28"/>
        <v>4567.2</v>
      </c>
      <c r="BL19" s="179">
        <f t="shared" si="30"/>
        <v>1</v>
      </c>
    </row>
    <row r="20" spans="2:64" s="121" customFormat="1" ht="16.5" customHeight="1" x14ac:dyDescent="0.2">
      <c r="B20" s="120"/>
      <c r="C20" s="56" t="s">
        <v>109</v>
      </c>
      <c r="D20" s="56" t="s">
        <v>96</v>
      </c>
      <c r="E20" s="57" t="s">
        <v>779</v>
      </c>
      <c r="F20" s="58" t="s">
        <v>780</v>
      </c>
      <c r="G20" s="59" t="s">
        <v>776</v>
      </c>
      <c r="H20" s="60">
        <v>1</v>
      </c>
      <c r="I20" s="61">
        <v>5919.54</v>
      </c>
      <c r="J20" s="60">
        <v>5919.5</v>
      </c>
      <c r="K20" s="62">
        <f t="shared" si="0"/>
        <v>0</v>
      </c>
      <c r="L20" s="63">
        <f t="shared" si="1"/>
        <v>0</v>
      </c>
      <c r="M20" s="64"/>
      <c r="N20" s="65">
        <f t="shared" si="2"/>
        <v>0</v>
      </c>
      <c r="O20" s="64"/>
      <c r="P20" s="65">
        <f t="shared" si="3"/>
        <v>0</v>
      </c>
      <c r="Q20" s="66"/>
      <c r="R20" s="65">
        <f t="shared" si="4"/>
        <v>0</v>
      </c>
      <c r="S20" s="67"/>
      <c r="T20" s="65">
        <f t="shared" si="5"/>
        <v>0</v>
      </c>
      <c r="U20" s="67"/>
      <c r="V20" s="65">
        <f t="shared" si="6"/>
        <v>0</v>
      </c>
      <c r="W20" s="67"/>
      <c r="X20" s="65">
        <f t="shared" si="7"/>
        <v>0</v>
      </c>
      <c r="Y20" s="67"/>
      <c r="Z20" s="65">
        <f t="shared" si="8"/>
        <v>0</v>
      </c>
      <c r="AA20" s="67"/>
      <c r="AB20" s="65">
        <f t="shared" si="9"/>
        <v>0</v>
      </c>
      <c r="AC20" s="67"/>
      <c r="AD20" s="65">
        <f t="shared" si="10"/>
        <v>0</v>
      </c>
      <c r="AE20" s="67"/>
      <c r="AF20" s="65">
        <f t="shared" si="11"/>
        <v>0</v>
      </c>
      <c r="AG20" s="67"/>
      <c r="AH20" s="65">
        <f t="shared" si="12"/>
        <v>0</v>
      </c>
      <c r="AI20" s="67"/>
      <c r="AJ20" s="65">
        <f t="shared" si="13"/>
        <v>0</v>
      </c>
      <c r="AK20" s="67"/>
      <c r="AL20" s="65">
        <f t="shared" si="14"/>
        <v>0</v>
      </c>
      <c r="AM20" s="67"/>
      <c r="AN20" s="65">
        <f t="shared" si="15"/>
        <v>0</v>
      </c>
      <c r="AO20" s="67"/>
      <c r="AP20" s="65">
        <f t="shared" si="16"/>
        <v>0</v>
      </c>
      <c r="AQ20" s="67"/>
      <c r="AR20" s="65">
        <f t="shared" si="17"/>
        <v>0</v>
      </c>
      <c r="AS20" s="67"/>
      <c r="AT20" s="65">
        <f t="shared" si="18"/>
        <v>0</v>
      </c>
      <c r="AU20" s="67"/>
      <c r="AV20" s="65">
        <f t="shared" si="19"/>
        <v>0</v>
      </c>
      <c r="AW20" s="67"/>
      <c r="AX20" s="65">
        <f t="shared" si="20"/>
        <v>0</v>
      </c>
      <c r="AY20" s="67"/>
      <c r="AZ20" s="65">
        <f t="shared" si="21"/>
        <v>0</v>
      </c>
      <c r="BA20" s="67"/>
      <c r="BB20" s="65">
        <f t="shared" si="22"/>
        <v>0</v>
      </c>
      <c r="BC20" s="67"/>
      <c r="BD20" s="65">
        <f t="shared" si="23"/>
        <v>0</v>
      </c>
      <c r="BE20" s="67"/>
      <c r="BF20" s="65">
        <f t="shared" si="24"/>
        <v>0</v>
      </c>
      <c r="BG20" s="68">
        <f t="shared" si="25"/>
        <v>0</v>
      </c>
      <c r="BH20" s="69">
        <f t="shared" si="26"/>
        <v>0</v>
      </c>
      <c r="BI20" s="70">
        <f t="shared" si="29"/>
        <v>0</v>
      </c>
      <c r="BJ20" s="71">
        <f t="shared" si="27"/>
        <v>1</v>
      </c>
      <c r="BK20" s="72">
        <f t="shared" si="28"/>
        <v>5919.5</v>
      </c>
      <c r="BL20" s="179">
        <f t="shared" si="30"/>
        <v>1</v>
      </c>
    </row>
    <row r="21" spans="2:64" s="121" customFormat="1" ht="16.5" customHeight="1" x14ac:dyDescent="0.2">
      <c r="B21" s="120"/>
      <c r="C21" s="56" t="s">
        <v>112</v>
      </c>
      <c r="D21" s="56" t="s">
        <v>96</v>
      </c>
      <c r="E21" s="57" t="s">
        <v>781</v>
      </c>
      <c r="F21" s="58" t="s">
        <v>782</v>
      </c>
      <c r="G21" s="59" t="s">
        <v>776</v>
      </c>
      <c r="H21" s="60">
        <v>1</v>
      </c>
      <c r="I21" s="61">
        <v>4554.47</v>
      </c>
      <c r="J21" s="60">
        <v>4554.5</v>
      </c>
      <c r="K21" s="62">
        <f t="shared" si="0"/>
        <v>0</v>
      </c>
      <c r="L21" s="63">
        <f t="shared" si="1"/>
        <v>0</v>
      </c>
      <c r="M21" s="64"/>
      <c r="N21" s="65">
        <f t="shared" si="2"/>
        <v>0</v>
      </c>
      <c r="O21" s="64"/>
      <c r="P21" s="65">
        <f t="shared" si="3"/>
        <v>0</v>
      </c>
      <c r="Q21" s="66"/>
      <c r="R21" s="65">
        <f t="shared" si="4"/>
        <v>0</v>
      </c>
      <c r="S21" s="67"/>
      <c r="T21" s="65">
        <f t="shared" si="5"/>
        <v>0</v>
      </c>
      <c r="U21" s="67"/>
      <c r="V21" s="65">
        <f t="shared" si="6"/>
        <v>0</v>
      </c>
      <c r="W21" s="67"/>
      <c r="X21" s="65">
        <f t="shared" si="7"/>
        <v>0</v>
      </c>
      <c r="Y21" s="67"/>
      <c r="Z21" s="65">
        <f t="shared" si="8"/>
        <v>0</v>
      </c>
      <c r="AA21" s="67"/>
      <c r="AB21" s="65">
        <f t="shared" si="9"/>
        <v>0</v>
      </c>
      <c r="AC21" s="67"/>
      <c r="AD21" s="65">
        <f t="shared" si="10"/>
        <v>0</v>
      </c>
      <c r="AE21" s="67"/>
      <c r="AF21" s="65">
        <f t="shared" si="11"/>
        <v>0</v>
      </c>
      <c r="AG21" s="67"/>
      <c r="AH21" s="65">
        <f t="shared" si="12"/>
        <v>0</v>
      </c>
      <c r="AI21" s="67"/>
      <c r="AJ21" s="65">
        <f t="shared" si="13"/>
        <v>0</v>
      </c>
      <c r="AK21" s="67"/>
      <c r="AL21" s="65">
        <f t="shared" si="14"/>
        <v>0</v>
      </c>
      <c r="AM21" s="67"/>
      <c r="AN21" s="65">
        <f t="shared" si="15"/>
        <v>0</v>
      </c>
      <c r="AO21" s="67"/>
      <c r="AP21" s="65">
        <f t="shared" si="16"/>
        <v>0</v>
      </c>
      <c r="AQ21" s="67"/>
      <c r="AR21" s="65">
        <f t="shared" si="17"/>
        <v>0</v>
      </c>
      <c r="AS21" s="67"/>
      <c r="AT21" s="65">
        <f t="shared" si="18"/>
        <v>0</v>
      </c>
      <c r="AU21" s="67"/>
      <c r="AV21" s="65">
        <f t="shared" si="19"/>
        <v>0</v>
      </c>
      <c r="AW21" s="67"/>
      <c r="AX21" s="65">
        <f t="shared" si="20"/>
        <v>0</v>
      </c>
      <c r="AY21" s="67"/>
      <c r="AZ21" s="65">
        <f t="shared" si="21"/>
        <v>0</v>
      </c>
      <c r="BA21" s="67"/>
      <c r="BB21" s="65">
        <f t="shared" si="22"/>
        <v>0</v>
      </c>
      <c r="BC21" s="67"/>
      <c r="BD21" s="65">
        <f t="shared" si="23"/>
        <v>0</v>
      </c>
      <c r="BE21" s="67"/>
      <c r="BF21" s="65">
        <f t="shared" si="24"/>
        <v>0</v>
      </c>
      <c r="BG21" s="68">
        <f t="shared" si="25"/>
        <v>0</v>
      </c>
      <c r="BH21" s="69">
        <f t="shared" si="26"/>
        <v>0</v>
      </c>
      <c r="BI21" s="70">
        <f t="shared" si="29"/>
        <v>0</v>
      </c>
      <c r="BJ21" s="71">
        <f t="shared" si="27"/>
        <v>1</v>
      </c>
      <c r="BK21" s="72">
        <f t="shared" si="28"/>
        <v>4554.5</v>
      </c>
      <c r="BL21" s="179">
        <f t="shared" si="30"/>
        <v>1</v>
      </c>
    </row>
    <row r="22" spans="2:64" s="121" customFormat="1" ht="16.5" customHeight="1" x14ac:dyDescent="0.2">
      <c r="B22" s="120"/>
      <c r="C22" s="56" t="s">
        <v>115</v>
      </c>
      <c r="D22" s="56" t="s">
        <v>96</v>
      </c>
      <c r="E22" s="57" t="s">
        <v>783</v>
      </c>
      <c r="F22" s="58" t="s">
        <v>784</v>
      </c>
      <c r="G22" s="59" t="s">
        <v>776</v>
      </c>
      <c r="H22" s="60">
        <v>1</v>
      </c>
      <c r="I22" s="61">
        <v>6480.88</v>
      </c>
      <c r="J22" s="60">
        <v>6480.9</v>
      </c>
      <c r="K22" s="62">
        <f t="shared" si="0"/>
        <v>0</v>
      </c>
      <c r="L22" s="63">
        <f t="shared" si="1"/>
        <v>0</v>
      </c>
      <c r="M22" s="64"/>
      <c r="N22" s="65">
        <f t="shared" si="2"/>
        <v>0</v>
      </c>
      <c r="O22" s="64"/>
      <c r="P22" s="65">
        <f t="shared" si="3"/>
        <v>0</v>
      </c>
      <c r="Q22" s="66"/>
      <c r="R22" s="65">
        <f t="shared" si="4"/>
        <v>0</v>
      </c>
      <c r="S22" s="67"/>
      <c r="T22" s="65">
        <f t="shared" si="5"/>
        <v>0</v>
      </c>
      <c r="U22" s="67"/>
      <c r="V22" s="65">
        <f t="shared" si="6"/>
        <v>0</v>
      </c>
      <c r="W22" s="67"/>
      <c r="X22" s="65">
        <f t="shared" si="7"/>
        <v>0</v>
      </c>
      <c r="Y22" s="67"/>
      <c r="Z22" s="65">
        <f t="shared" si="8"/>
        <v>0</v>
      </c>
      <c r="AA22" s="67"/>
      <c r="AB22" s="65">
        <f t="shared" si="9"/>
        <v>0</v>
      </c>
      <c r="AC22" s="67"/>
      <c r="AD22" s="65">
        <f t="shared" si="10"/>
        <v>0</v>
      </c>
      <c r="AE22" s="67"/>
      <c r="AF22" s="65">
        <f t="shared" si="11"/>
        <v>0</v>
      </c>
      <c r="AG22" s="67"/>
      <c r="AH22" s="65">
        <f t="shared" si="12"/>
        <v>0</v>
      </c>
      <c r="AI22" s="67"/>
      <c r="AJ22" s="65">
        <f t="shared" si="13"/>
        <v>0</v>
      </c>
      <c r="AK22" s="67"/>
      <c r="AL22" s="65">
        <f t="shared" si="14"/>
        <v>0</v>
      </c>
      <c r="AM22" s="67"/>
      <c r="AN22" s="65">
        <f t="shared" si="15"/>
        <v>0</v>
      </c>
      <c r="AO22" s="67"/>
      <c r="AP22" s="65">
        <f t="shared" si="16"/>
        <v>0</v>
      </c>
      <c r="AQ22" s="67"/>
      <c r="AR22" s="65">
        <f t="shared" si="17"/>
        <v>0</v>
      </c>
      <c r="AS22" s="67"/>
      <c r="AT22" s="65">
        <f t="shared" si="18"/>
        <v>0</v>
      </c>
      <c r="AU22" s="67"/>
      <c r="AV22" s="65">
        <f t="shared" si="19"/>
        <v>0</v>
      </c>
      <c r="AW22" s="67"/>
      <c r="AX22" s="65">
        <f t="shared" si="20"/>
        <v>0</v>
      </c>
      <c r="AY22" s="67"/>
      <c r="AZ22" s="65">
        <f t="shared" si="21"/>
        <v>0</v>
      </c>
      <c r="BA22" s="67"/>
      <c r="BB22" s="65">
        <f t="shared" si="22"/>
        <v>0</v>
      </c>
      <c r="BC22" s="67"/>
      <c r="BD22" s="65">
        <f t="shared" si="23"/>
        <v>0</v>
      </c>
      <c r="BE22" s="67"/>
      <c r="BF22" s="65">
        <f t="shared" si="24"/>
        <v>0</v>
      </c>
      <c r="BG22" s="68">
        <f t="shared" si="25"/>
        <v>0</v>
      </c>
      <c r="BH22" s="69">
        <f t="shared" si="26"/>
        <v>0</v>
      </c>
      <c r="BI22" s="70">
        <f t="shared" si="29"/>
        <v>0</v>
      </c>
      <c r="BJ22" s="71">
        <f t="shared" si="27"/>
        <v>1</v>
      </c>
      <c r="BK22" s="72">
        <f t="shared" si="28"/>
        <v>6480.9</v>
      </c>
      <c r="BL22" s="179">
        <f t="shared" si="30"/>
        <v>1</v>
      </c>
    </row>
    <row r="23" spans="2:64" s="121" customFormat="1" ht="16.5" customHeight="1" x14ac:dyDescent="0.2">
      <c r="B23" s="120"/>
      <c r="C23" s="56" t="s">
        <v>118</v>
      </c>
      <c r="D23" s="56" t="s">
        <v>96</v>
      </c>
      <c r="E23" s="57" t="s">
        <v>785</v>
      </c>
      <c r="F23" s="58" t="s">
        <v>786</v>
      </c>
      <c r="G23" s="59" t="s">
        <v>776</v>
      </c>
      <c r="H23" s="60">
        <v>1</v>
      </c>
      <c r="I23" s="61">
        <v>6378.81</v>
      </c>
      <c r="J23" s="60">
        <v>6378.8</v>
      </c>
      <c r="K23" s="62">
        <f t="shared" si="0"/>
        <v>0</v>
      </c>
      <c r="L23" s="63">
        <f t="shared" si="1"/>
        <v>0</v>
      </c>
      <c r="M23" s="64"/>
      <c r="N23" s="65">
        <f t="shared" si="2"/>
        <v>0</v>
      </c>
      <c r="O23" s="64"/>
      <c r="P23" s="65">
        <f t="shared" si="3"/>
        <v>0</v>
      </c>
      <c r="Q23" s="66"/>
      <c r="R23" s="65">
        <f t="shared" si="4"/>
        <v>0</v>
      </c>
      <c r="S23" s="67"/>
      <c r="T23" s="65">
        <f t="shared" si="5"/>
        <v>0</v>
      </c>
      <c r="U23" s="67"/>
      <c r="V23" s="65">
        <f t="shared" si="6"/>
        <v>0</v>
      </c>
      <c r="W23" s="67"/>
      <c r="X23" s="65">
        <f t="shared" si="7"/>
        <v>0</v>
      </c>
      <c r="Y23" s="67"/>
      <c r="Z23" s="65">
        <f t="shared" si="8"/>
        <v>0</v>
      </c>
      <c r="AA23" s="67"/>
      <c r="AB23" s="65">
        <f t="shared" si="9"/>
        <v>0</v>
      </c>
      <c r="AC23" s="67"/>
      <c r="AD23" s="65">
        <f t="shared" si="10"/>
        <v>0</v>
      </c>
      <c r="AE23" s="67"/>
      <c r="AF23" s="65">
        <f t="shared" si="11"/>
        <v>0</v>
      </c>
      <c r="AG23" s="67"/>
      <c r="AH23" s="65">
        <f t="shared" si="12"/>
        <v>0</v>
      </c>
      <c r="AI23" s="67"/>
      <c r="AJ23" s="65">
        <f t="shared" si="13"/>
        <v>0</v>
      </c>
      <c r="AK23" s="67"/>
      <c r="AL23" s="65">
        <f t="shared" si="14"/>
        <v>0</v>
      </c>
      <c r="AM23" s="67"/>
      <c r="AN23" s="65">
        <f t="shared" si="15"/>
        <v>0</v>
      </c>
      <c r="AO23" s="67"/>
      <c r="AP23" s="65">
        <f t="shared" si="16"/>
        <v>0</v>
      </c>
      <c r="AQ23" s="67"/>
      <c r="AR23" s="65">
        <f t="shared" si="17"/>
        <v>0</v>
      </c>
      <c r="AS23" s="67"/>
      <c r="AT23" s="65">
        <f t="shared" si="18"/>
        <v>0</v>
      </c>
      <c r="AU23" s="67"/>
      <c r="AV23" s="65">
        <f t="shared" si="19"/>
        <v>0</v>
      </c>
      <c r="AW23" s="67"/>
      <c r="AX23" s="65">
        <f t="shared" si="20"/>
        <v>0</v>
      </c>
      <c r="AY23" s="67"/>
      <c r="AZ23" s="65">
        <f t="shared" si="21"/>
        <v>0</v>
      </c>
      <c r="BA23" s="67"/>
      <c r="BB23" s="65">
        <f t="shared" si="22"/>
        <v>0</v>
      </c>
      <c r="BC23" s="67"/>
      <c r="BD23" s="65">
        <f t="shared" si="23"/>
        <v>0</v>
      </c>
      <c r="BE23" s="67"/>
      <c r="BF23" s="65">
        <f t="shared" si="24"/>
        <v>0</v>
      </c>
      <c r="BG23" s="68">
        <f t="shared" si="25"/>
        <v>0</v>
      </c>
      <c r="BH23" s="69">
        <f t="shared" si="26"/>
        <v>0</v>
      </c>
      <c r="BI23" s="70">
        <f t="shared" si="29"/>
        <v>0</v>
      </c>
      <c r="BJ23" s="71">
        <f t="shared" si="27"/>
        <v>1</v>
      </c>
      <c r="BK23" s="72">
        <f t="shared" si="28"/>
        <v>6378.8</v>
      </c>
      <c r="BL23" s="179">
        <f t="shared" si="30"/>
        <v>1</v>
      </c>
    </row>
    <row r="24" spans="2:64" s="121" customFormat="1" ht="6.95" customHeight="1" x14ac:dyDescent="0.2">
      <c r="B24" s="120"/>
      <c r="C24" s="120"/>
      <c r="D24" s="120"/>
      <c r="E24" s="120"/>
      <c r="F24" s="120"/>
      <c r="G24" s="120"/>
      <c r="H24" s="120"/>
      <c r="I24" s="153"/>
      <c r="J24" s="120"/>
    </row>
    <row r="25" spans="2:64" ht="18" customHeight="1" x14ac:dyDescent="0.2">
      <c r="D25" s="42"/>
      <c r="E25" s="43" t="s">
        <v>913</v>
      </c>
      <c r="F25" s="44"/>
      <c r="G25" s="44"/>
      <c r="H25" s="45"/>
      <c r="I25" s="44"/>
      <c r="J25" s="46">
        <f>ROUND(SUBTOTAL(9,J12:J23),2)</f>
        <v>263840.5</v>
      </c>
      <c r="K25" s="47"/>
      <c r="L25" s="46">
        <f>ROUND(SUBTOTAL(9,L12:L23),2)</f>
        <v>0</v>
      </c>
      <c r="M25" s="48" t="s">
        <v>875</v>
      </c>
      <c r="N25" s="46">
        <f>ROUND(SUBTOTAL(9,N12:N23),2)</f>
        <v>0</v>
      </c>
      <c r="O25" s="48" t="s">
        <v>875</v>
      </c>
      <c r="P25" s="46">
        <f>ROUND(SUBTOTAL(9,P12:P23),2)</f>
        <v>0</v>
      </c>
      <c r="Q25" s="48" t="s">
        <v>875</v>
      </c>
      <c r="R25" s="46">
        <f>ROUND(SUBTOTAL(9,R12:R23),2)</f>
        <v>0</v>
      </c>
      <c r="S25" s="48" t="s">
        <v>875</v>
      </c>
      <c r="T25" s="46">
        <f>ROUND(SUBTOTAL(9,T12:T23),2)</f>
        <v>0</v>
      </c>
      <c r="U25" s="48" t="s">
        <v>875</v>
      </c>
      <c r="V25" s="46">
        <f>ROUND(SUBTOTAL(9,V12:V23),2)</f>
        <v>0</v>
      </c>
      <c r="W25" s="48" t="s">
        <v>875</v>
      </c>
      <c r="X25" s="46">
        <f>ROUND(SUBTOTAL(9,X12:X23),2)</f>
        <v>0</v>
      </c>
      <c r="Y25" s="48" t="s">
        <v>875</v>
      </c>
      <c r="Z25" s="46">
        <f>ROUND(SUBTOTAL(9,Z12:Z23),2)</f>
        <v>0</v>
      </c>
      <c r="AA25" s="48" t="s">
        <v>875</v>
      </c>
      <c r="AB25" s="46">
        <f>ROUND(SUBTOTAL(9,AB12:AB23),2)</f>
        <v>0</v>
      </c>
      <c r="AC25" s="48" t="s">
        <v>875</v>
      </c>
      <c r="AD25" s="46">
        <f>ROUND(SUBTOTAL(9,AD12:AD23),2)</f>
        <v>0</v>
      </c>
      <c r="AE25" s="48" t="s">
        <v>875</v>
      </c>
      <c r="AF25" s="46">
        <f>ROUND(SUBTOTAL(9,AF12:AF23),2)</f>
        <v>0</v>
      </c>
      <c r="AG25" s="48" t="s">
        <v>875</v>
      </c>
      <c r="AH25" s="46">
        <f>ROUND(SUBTOTAL(9,AH12:AH23),2)</f>
        <v>0</v>
      </c>
      <c r="AI25" s="48" t="s">
        <v>875</v>
      </c>
      <c r="AJ25" s="46">
        <f>ROUND(SUBTOTAL(9,AJ12:AJ23),2)</f>
        <v>0</v>
      </c>
      <c r="AK25" s="48" t="s">
        <v>875</v>
      </c>
      <c r="AL25" s="46">
        <f>ROUND(SUBTOTAL(9,AL12:AL23),2)</f>
        <v>0</v>
      </c>
      <c r="AM25" s="48" t="s">
        <v>875</v>
      </c>
      <c r="AN25" s="46">
        <f>ROUND(SUBTOTAL(9,AN12:AN23),2)</f>
        <v>0</v>
      </c>
      <c r="AO25" s="48" t="s">
        <v>875</v>
      </c>
      <c r="AP25" s="46">
        <f>ROUND(SUBTOTAL(9,AP12:AP23),2)</f>
        <v>0</v>
      </c>
      <c r="AQ25" s="46"/>
      <c r="AR25" s="46">
        <f>ROUND(SUBTOTAL(9,AR12:AR23),2)</f>
        <v>0</v>
      </c>
      <c r="AS25" s="48" t="s">
        <v>875</v>
      </c>
      <c r="AT25" s="46">
        <f>ROUND(SUBTOTAL(9,AT12:AT23),2)</f>
        <v>0</v>
      </c>
      <c r="AU25" s="48" t="s">
        <v>875</v>
      </c>
      <c r="AV25" s="46">
        <f>ROUND(SUBTOTAL(9,AV12:AV23),2)</f>
        <v>0</v>
      </c>
      <c r="AW25" s="48" t="s">
        <v>875</v>
      </c>
      <c r="AX25" s="46">
        <f>ROUND(SUBTOTAL(9,AX12:AX23),2)</f>
        <v>0</v>
      </c>
      <c r="AY25" s="48" t="s">
        <v>875</v>
      </c>
      <c r="AZ25" s="46">
        <f>ROUND(SUBTOTAL(9,AZ12:AZ23),2)</f>
        <v>0</v>
      </c>
      <c r="BA25" s="48" t="s">
        <v>875</v>
      </c>
      <c r="BB25" s="46">
        <f>ROUND(SUBTOTAL(9,BB12:BB23),2)</f>
        <v>0</v>
      </c>
      <c r="BC25" s="48" t="s">
        <v>875</v>
      </c>
      <c r="BD25" s="46">
        <f>ROUND(SUBTOTAL(9,BD12:BD23),2)</f>
        <v>0</v>
      </c>
      <c r="BE25" s="48" t="s">
        <v>875</v>
      </c>
      <c r="BF25" s="46">
        <f>ROUND(SUBTOTAL(9,BF12:BF23),2)</f>
        <v>0</v>
      </c>
      <c r="BG25" s="49"/>
      <c r="BH25" s="46">
        <f>ROUND(SUBTOTAL(9,BH12:BH23),2)</f>
        <v>0</v>
      </c>
      <c r="BI25" s="46"/>
      <c r="BJ25" s="49"/>
      <c r="BK25" s="46">
        <f>ROUND(SUBTOTAL(9,BK12:BK23),2)</f>
        <v>263840.5</v>
      </c>
    </row>
    <row r="26" spans="2:64" ht="12.75" x14ac:dyDescent="0.2">
      <c r="H26" s="50"/>
      <c r="I26" s="8"/>
      <c r="J26" s="9"/>
      <c r="K26" s="10"/>
      <c r="L26" s="10"/>
      <c r="M26" s="51" t="s">
        <v>875</v>
      </c>
      <c r="O26" s="51" t="s">
        <v>875</v>
      </c>
      <c r="Q26" s="52" t="s">
        <v>875</v>
      </c>
      <c r="S26" s="52" t="s">
        <v>875</v>
      </c>
      <c r="U26" s="53" t="s">
        <v>875</v>
      </c>
      <c r="Y26" s="53" t="s">
        <v>875</v>
      </c>
      <c r="AA26" s="52" t="s">
        <v>875</v>
      </c>
      <c r="AC26" s="54" t="s">
        <v>875</v>
      </c>
    </row>
    <row r="27" spans="2:64" ht="14.25" x14ac:dyDescent="0.2">
      <c r="E27" s="6" t="s">
        <v>849</v>
      </c>
      <c r="F27" s="6"/>
      <c r="G27" s="320" t="s">
        <v>1224</v>
      </c>
      <c r="H27" s="50"/>
      <c r="I27" s="8"/>
      <c r="J27" s="6"/>
      <c r="K27" s="6"/>
      <c r="Q27" s="52" t="s">
        <v>875</v>
      </c>
      <c r="S27" s="52" t="s">
        <v>875</v>
      </c>
      <c r="U27" s="53" t="s">
        <v>875</v>
      </c>
      <c r="Y27" s="53" t="s">
        <v>875</v>
      </c>
      <c r="AA27" s="52" t="s">
        <v>875</v>
      </c>
      <c r="AC27" s="54" t="s">
        <v>875</v>
      </c>
      <c r="BG27" s="6" t="s">
        <v>848</v>
      </c>
    </row>
  </sheetData>
  <sheetProtection formatColumns="0" formatRows="0" autoFilter="0"/>
  <protectedRanges>
    <protectedRange password="CCAA" sqref="BG8 K8" name="Oblast1_1_1"/>
    <protectedRange password="CCAA" sqref="D9:H11" name="Oblast1_2"/>
  </protectedRanges>
  <autoFilter ref="C10:BL23" xr:uid="{00000000-0009-0000-0000-000025000000}">
    <filterColumn colId="10" showButton="0"/>
    <filterColumn colId="12" showButton="0"/>
    <filterColumn colId="16" showButton="0"/>
    <filterColumn colId="18" showButton="0"/>
    <filterColumn colId="20" showButton="0"/>
    <filterColumn colId="22" showButton="0"/>
    <filterColumn colId="24" showButton="0"/>
    <filterColumn colId="26" showButton="0"/>
    <filterColumn colId="28" showButton="0"/>
    <filterColumn colId="30" showButton="0"/>
    <filterColumn colId="32" showButton="0"/>
    <filterColumn colId="34" showButton="0"/>
    <filterColumn colId="36" showButton="0"/>
    <filterColumn colId="38" showButton="0"/>
    <filterColumn colId="40" showButton="0"/>
    <filterColumn colId="42" showButton="0"/>
    <filterColumn colId="44" showButton="0"/>
    <filterColumn colId="46" showButton="0"/>
    <filterColumn colId="48" showButton="0"/>
    <filterColumn colId="50" showButton="0"/>
    <filterColumn colId="52" showButton="0"/>
    <filterColumn colId="54" showButton="0"/>
  </autoFilter>
  <mergeCells count="71">
    <mergeCell ref="BA10:BB10"/>
    <mergeCell ref="BC10:BD10"/>
    <mergeCell ref="BE10:BF10"/>
    <mergeCell ref="AO10:AP10"/>
    <mergeCell ref="AQ10:AR10"/>
    <mergeCell ref="AS10:AT10"/>
    <mergeCell ref="AU10:AV10"/>
    <mergeCell ref="AW10:AX10"/>
    <mergeCell ref="BC9:BD9"/>
    <mergeCell ref="BE9:BF9"/>
    <mergeCell ref="M10:N10"/>
    <mergeCell ref="O10:P10"/>
    <mergeCell ref="S10:T10"/>
    <mergeCell ref="U10:V10"/>
    <mergeCell ref="W10:X10"/>
    <mergeCell ref="Y10:Z10"/>
    <mergeCell ref="AA10:AB10"/>
    <mergeCell ref="AC10:AD10"/>
    <mergeCell ref="AE10:AF10"/>
    <mergeCell ref="AG10:AH10"/>
    <mergeCell ref="AI10:AJ10"/>
    <mergeCell ref="AK10:AL10"/>
    <mergeCell ref="AM10:AN10"/>
    <mergeCell ref="AY10:AZ10"/>
    <mergeCell ref="AS9:AT9"/>
    <mergeCell ref="AU9:AV9"/>
    <mergeCell ref="AW9:AX9"/>
    <mergeCell ref="AY9:AZ9"/>
    <mergeCell ref="BA9:BB9"/>
    <mergeCell ref="AI9:AJ9"/>
    <mergeCell ref="AK9:AL9"/>
    <mergeCell ref="AM9:AN9"/>
    <mergeCell ref="AO9:AP9"/>
    <mergeCell ref="AQ9:AR9"/>
    <mergeCell ref="AY8:AZ8"/>
    <mergeCell ref="BA8:BB8"/>
    <mergeCell ref="BC8:BD8"/>
    <mergeCell ref="BE8:BF8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C9:AD9"/>
    <mergeCell ref="AE9:AF9"/>
    <mergeCell ref="AG9:AH9"/>
    <mergeCell ref="AO8:AP8"/>
    <mergeCell ref="AQ8:AR8"/>
    <mergeCell ref="AS8:AT8"/>
    <mergeCell ref="AU8:AV8"/>
    <mergeCell ref="AW8:AX8"/>
    <mergeCell ref="BG9:BI9"/>
    <mergeCell ref="BJ9:BL9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AE8:AF8"/>
    <mergeCell ref="AG8:AH8"/>
    <mergeCell ref="AI8:AJ8"/>
    <mergeCell ref="AK8:AL8"/>
    <mergeCell ref="AM8:AN8"/>
  </mergeCells>
  <conditionalFormatting sqref="D3:E8 H3:N7 H8:L8 D9:L10 D11:AL11 BE11:JE11 BG8:JE8 BM9:JE10 O1:AI7 D1:N2 AK1:JE7">
    <cfRule type="cellIs" dxfId="203" priority="106" operator="lessThan">
      <formula>0</formula>
    </cfRule>
  </conditionalFormatting>
  <conditionalFormatting sqref="G4">
    <cfRule type="cellIs" dxfId="202" priority="105" operator="lessThan">
      <formula>0</formula>
    </cfRule>
  </conditionalFormatting>
  <conditionalFormatting sqref="G3">
    <cfRule type="cellIs" dxfId="201" priority="104" operator="lessThan">
      <formula>0</formula>
    </cfRule>
  </conditionalFormatting>
  <conditionalFormatting sqref="AO11:AP11">
    <cfRule type="cellIs" dxfId="200" priority="102" operator="lessThan">
      <formula>0</formula>
    </cfRule>
  </conditionalFormatting>
  <conditionalFormatting sqref="AQ11:AR11">
    <cfRule type="cellIs" dxfId="199" priority="101" operator="lessThan">
      <formula>0</formula>
    </cfRule>
  </conditionalFormatting>
  <conditionalFormatting sqref="AS11:AT11">
    <cfRule type="cellIs" dxfId="198" priority="100" operator="lessThan">
      <formula>0</formula>
    </cfRule>
  </conditionalFormatting>
  <conditionalFormatting sqref="AS10:AT10">
    <cfRule type="cellIs" dxfId="197" priority="78" operator="lessThan">
      <formula>0</formula>
    </cfRule>
  </conditionalFormatting>
  <conditionalFormatting sqref="AM10:AN10">
    <cfRule type="cellIs" dxfId="196" priority="81" operator="lessThan">
      <formula>0</formula>
    </cfRule>
  </conditionalFormatting>
  <conditionalFormatting sqref="AI8">
    <cfRule type="cellIs" dxfId="195" priority="84" operator="lessThan">
      <formula>0</formula>
    </cfRule>
  </conditionalFormatting>
  <conditionalFormatting sqref="AG10:AH10">
    <cfRule type="cellIs" dxfId="194" priority="87" operator="lessThan">
      <formula>0</formula>
    </cfRule>
  </conditionalFormatting>
  <conditionalFormatting sqref="AC8">
    <cfRule type="cellIs" dxfId="193" priority="90" operator="lessThan">
      <formula>0</formula>
    </cfRule>
  </conditionalFormatting>
  <conditionalFormatting sqref="W8">
    <cfRule type="cellIs" dxfId="192" priority="93" operator="lessThan">
      <formula>0</formula>
    </cfRule>
  </conditionalFormatting>
  <conditionalFormatting sqref="BC11:BD11">
    <cfRule type="cellIs" dxfId="191" priority="95" operator="lessThan">
      <formula>0</formula>
    </cfRule>
  </conditionalFormatting>
  <conditionalFormatting sqref="AO10:AP10">
    <cfRule type="cellIs" dxfId="190" priority="80" operator="lessThan">
      <formula>0</formula>
    </cfRule>
  </conditionalFormatting>
  <conditionalFormatting sqref="AK10:AL10">
    <cfRule type="cellIs" dxfId="189" priority="83" operator="lessThan">
      <formula>0</formula>
    </cfRule>
  </conditionalFormatting>
  <conditionalFormatting sqref="AG8">
    <cfRule type="cellIs" dxfId="188" priority="86" operator="lessThan">
      <formula>0</formula>
    </cfRule>
  </conditionalFormatting>
  <conditionalFormatting sqref="AE10:AF10">
    <cfRule type="cellIs" dxfId="187" priority="89" operator="lessThan">
      <formula>0</formula>
    </cfRule>
  </conditionalFormatting>
  <conditionalFormatting sqref="Y8">
    <cfRule type="cellIs" dxfId="186" priority="92" operator="lessThan">
      <formula>0</formula>
    </cfRule>
  </conditionalFormatting>
  <conditionalFormatting sqref="AM11:AN11">
    <cfRule type="cellIs" dxfId="185" priority="103" operator="lessThan">
      <formula>0</formula>
    </cfRule>
  </conditionalFormatting>
  <conditionalFormatting sqref="O8 Q8 M8 S8 U8 M10:AD10 M9:AZ9">
    <cfRule type="cellIs" dxfId="184" priority="94" operator="lessThan">
      <formula>0</formula>
    </cfRule>
  </conditionalFormatting>
  <conditionalFormatting sqref="AA8">
    <cfRule type="cellIs" dxfId="183" priority="91" operator="lessThan">
      <formula>0</formula>
    </cfRule>
  </conditionalFormatting>
  <conditionalFormatting sqref="AE8">
    <cfRule type="cellIs" dxfId="182" priority="88" operator="lessThan">
      <formula>0</formula>
    </cfRule>
  </conditionalFormatting>
  <conditionalFormatting sqref="AU11:AV11">
    <cfRule type="cellIs" dxfId="181" priority="99" operator="lessThan">
      <formula>0</formula>
    </cfRule>
  </conditionalFormatting>
  <conditionalFormatting sqref="AK8">
    <cfRule type="cellIs" dxfId="180" priority="82" operator="lessThan">
      <formula>0</formula>
    </cfRule>
  </conditionalFormatting>
  <conditionalFormatting sqref="AW11:AX11">
    <cfRule type="cellIs" dxfId="179" priority="98" operator="lessThan">
      <formula>0</formula>
    </cfRule>
  </conditionalFormatting>
  <conditionalFormatting sqref="AQ10:AR10">
    <cfRule type="cellIs" dxfId="178" priority="79" operator="lessThan">
      <formula>0</formula>
    </cfRule>
  </conditionalFormatting>
  <conditionalFormatting sqref="AY11:AZ11">
    <cfRule type="cellIs" dxfId="177" priority="97" operator="lessThan">
      <formula>0</formula>
    </cfRule>
  </conditionalFormatting>
  <conditionalFormatting sqref="AW10:AX10">
    <cfRule type="cellIs" dxfId="176" priority="76" operator="lessThan">
      <formula>0</formula>
    </cfRule>
  </conditionalFormatting>
  <conditionalFormatting sqref="AY10:AZ10">
    <cfRule type="cellIs" dxfId="175" priority="75" operator="lessThan">
      <formula>0</formula>
    </cfRule>
  </conditionalFormatting>
  <conditionalFormatting sqref="BA9:BB10 BC9:BD9">
    <cfRule type="cellIs" dxfId="174" priority="74" operator="lessThan">
      <formula>0</formula>
    </cfRule>
  </conditionalFormatting>
  <conditionalFormatting sqref="BA11:BB11">
    <cfRule type="cellIs" dxfId="173" priority="96" operator="lessThan">
      <formula>0</formula>
    </cfRule>
  </conditionalFormatting>
  <conditionalFormatting sqref="AM8 AO8 AQ8 AS8">
    <cfRule type="cellIs" dxfId="172" priority="72" operator="lessThan">
      <formula>0</formula>
    </cfRule>
  </conditionalFormatting>
  <conditionalFormatting sqref="AU8">
    <cfRule type="cellIs" dxfId="171" priority="71" operator="lessThan">
      <formula>0</formula>
    </cfRule>
  </conditionalFormatting>
  <conditionalFormatting sqref="AY8">
    <cfRule type="cellIs" dxfId="170" priority="69" operator="lessThan">
      <formula>0</formula>
    </cfRule>
  </conditionalFormatting>
  <conditionalFormatting sqref="BA8">
    <cfRule type="cellIs" dxfId="169" priority="68" operator="lessThan">
      <formula>0</formula>
    </cfRule>
  </conditionalFormatting>
  <conditionalFormatting sqref="BC8">
    <cfRule type="cellIs" dxfId="168" priority="67" operator="lessThan">
      <formula>0</formula>
    </cfRule>
  </conditionalFormatting>
  <conditionalFormatting sqref="BE9:BF9">
    <cfRule type="cellIs" dxfId="167" priority="66" operator="lessThan">
      <formula>0</formula>
    </cfRule>
  </conditionalFormatting>
  <conditionalFormatting sqref="BE10:BF10">
    <cfRule type="cellIs" dxfId="166" priority="65" operator="lessThan">
      <formula>0</formula>
    </cfRule>
  </conditionalFormatting>
  <conditionalFormatting sqref="BE8">
    <cfRule type="cellIs" dxfId="165" priority="64" operator="lessThan">
      <formula>0</formula>
    </cfRule>
  </conditionalFormatting>
  <conditionalFormatting sqref="AI10:AJ10">
    <cfRule type="cellIs" dxfId="164" priority="85" operator="lessThan">
      <formula>0</formula>
    </cfRule>
  </conditionalFormatting>
  <conditionalFormatting sqref="AU10:AV10">
    <cfRule type="cellIs" dxfId="163" priority="77" operator="lessThan">
      <formula>0</formula>
    </cfRule>
  </conditionalFormatting>
  <conditionalFormatting sqref="BC10:BD10">
    <cfRule type="cellIs" dxfId="162" priority="73" operator="lessThan">
      <formula>0</formula>
    </cfRule>
  </conditionalFormatting>
  <conditionalFormatting sqref="AW8">
    <cfRule type="cellIs" dxfId="161" priority="70" operator="lessThan">
      <formula>0</formula>
    </cfRule>
  </conditionalFormatting>
  <conditionalFormatting sqref="K12:AL23 BE12:BK14 BE15:BH23 BJ16:BK23">
    <cfRule type="cellIs" dxfId="160" priority="63" operator="lessThan">
      <formula>0</formula>
    </cfRule>
  </conditionalFormatting>
  <conditionalFormatting sqref="N12:N23 Q12:Q23 S12:S23 W12:W23 Y12:Y23">
    <cfRule type="cellIs" dxfId="159" priority="62" operator="lessThan">
      <formula>0</formula>
    </cfRule>
  </conditionalFormatting>
  <conditionalFormatting sqref="N12:N23 Q12:Q23 S12:S23 W12:W23 Y12:Y23">
    <cfRule type="cellIs" dxfId="158" priority="61" operator="lessThan">
      <formula>0</formula>
    </cfRule>
  </conditionalFormatting>
  <conditionalFormatting sqref="N12:N23 Q12:Q23 S12:S23 W12:W23 Y12:Y23">
    <cfRule type="cellIs" dxfId="157" priority="60" operator="lessThan">
      <formula>0</formula>
    </cfRule>
  </conditionalFormatting>
  <conditionalFormatting sqref="W12:W23 Y12:Y23">
    <cfRule type="cellIs" dxfId="156" priority="58" operator="lessThan">
      <formula>0</formula>
    </cfRule>
    <cfRule type="cellIs" dxfId="155" priority="59" operator="lessThan">
      <formula>0</formula>
    </cfRule>
  </conditionalFormatting>
  <conditionalFormatting sqref="N12:N23 Q12:Q23 S12:S23 W12:W23 Y12:Y23">
    <cfRule type="cellIs" dxfId="154" priority="57" operator="lessThan">
      <formula>0</formula>
    </cfRule>
  </conditionalFormatting>
  <conditionalFormatting sqref="W12:W23">
    <cfRule type="cellIs" dxfId="153" priority="55" operator="lessThan">
      <formula>0</formula>
    </cfRule>
    <cfRule type="cellIs" dxfId="152" priority="56" operator="lessThan">
      <formula>0</formula>
    </cfRule>
  </conditionalFormatting>
  <conditionalFormatting sqref="Y12:Y23">
    <cfRule type="cellIs" dxfId="151" priority="53" operator="lessThan">
      <formula>0</formula>
    </cfRule>
    <cfRule type="cellIs" dxfId="150" priority="54" operator="lessThan">
      <formula>0</formula>
    </cfRule>
  </conditionalFormatting>
  <conditionalFormatting sqref="N12:N23">
    <cfRule type="cellIs" dxfId="149" priority="52" operator="lessThan">
      <formula>0</formula>
    </cfRule>
  </conditionalFormatting>
  <conditionalFormatting sqref="BG12:BK14 BG15:BH23 BJ16:BK23">
    <cfRule type="cellIs" dxfId="148" priority="51" operator="lessThan">
      <formula>0</formula>
    </cfRule>
  </conditionalFormatting>
  <conditionalFormatting sqref="AO12:AP23">
    <cfRule type="cellIs" dxfId="147" priority="49" operator="lessThan">
      <formula>0</formula>
    </cfRule>
  </conditionalFormatting>
  <conditionalFormatting sqref="AQ12:AR23">
    <cfRule type="cellIs" dxfId="146" priority="48" operator="lessThan">
      <formula>0</formula>
    </cfRule>
  </conditionalFormatting>
  <conditionalFormatting sqref="AS12:AT23">
    <cfRule type="cellIs" dxfId="145" priority="47" operator="lessThan">
      <formula>0</formula>
    </cfRule>
  </conditionalFormatting>
  <conditionalFormatting sqref="BC12:BD23">
    <cfRule type="cellIs" dxfId="144" priority="42" operator="lessThan">
      <formula>0</formula>
    </cfRule>
  </conditionalFormatting>
  <conditionalFormatting sqref="AM12:AN23">
    <cfRule type="cellIs" dxfId="143" priority="50" operator="lessThan">
      <formula>0</formula>
    </cfRule>
  </conditionalFormatting>
  <conditionalFormatting sqref="AU12:AV23">
    <cfRule type="cellIs" dxfId="142" priority="46" operator="lessThan">
      <formula>0</formula>
    </cfRule>
  </conditionalFormatting>
  <conditionalFormatting sqref="AW12:AX23">
    <cfRule type="cellIs" dxfId="141" priority="45" operator="lessThan">
      <formula>0</formula>
    </cfRule>
  </conditionalFormatting>
  <conditionalFormatting sqref="AY12:AZ23">
    <cfRule type="cellIs" dxfId="140" priority="44" operator="lessThan">
      <formula>0</formula>
    </cfRule>
  </conditionalFormatting>
  <conditionalFormatting sqref="BA12:BB23">
    <cfRule type="cellIs" dxfId="139" priority="43" operator="lessThan">
      <formula>0</formula>
    </cfRule>
  </conditionalFormatting>
  <conditionalFormatting sqref="BE26:BF26 K25 M25 O25 Q25 S25 U25 W25 Y25 AA25 AC25 AE25 AG25 AI25 AK25 BE25 K26:AK26">
    <cfRule type="cellIs" dxfId="138" priority="41" operator="lessThan">
      <formula>0</formula>
    </cfRule>
  </conditionalFormatting>
  <conditionalFormatting sqref="E25:J26 D25:D27 BG25:JO26 BL27:JO27">
    <cfRule type="cellIs" dxfId="137" priority="40" operator="lessThan">
      <formula>0</formula>
    </cfRule>
  </conditionalFormatting>
  <conditionalFormatting sqref="AO26:AP26 AO25">
    <cfRule type="cellIs" dxfId="136" priority="35" operator="lessThan">
      <formula>0</formula>
    </cfRule>
  </conditionalFormatting>
  <conditionalFormatting sqref="AQ26:AR26">
    <cfRule type="cellIs" dxfId="135" priority="34" operator="lessThan">
      <formula>0</formula>
    </cfRule>
  </conditionalFormatting>
  <conditionalFormatting sqref="AS26:AT26 AS25">
    <cfRule type="cellIs" dxfId="134" priority="33" operator="lessThan">
      <formula>0</formula>
    </cfRule>
  </conditionalFormatting>
  <conditionalFormatting sqref="BC26:BD26 BC25">
    <cfRule type="cellIs" dxfId="133" priority="28" operator="lessThan">
      <formula>0</formula>
    </cfRule>
  </conditionalFormatting>
  <conditionalFormatting sqref="AM26:AN26 AM25">
    <cfRule type="cellIs" dxfId="132" priority="36" operator="lessThan">
      <formula>0</formula>
    </cfRule>
  </conditionalFormatting>
  <conditionalFormatting sqref="AU26:AV26 AU25">
    <cfRule type="cellIs" dxfId="131" priority="32" operator="lessThan">
      <formula>0</formula>
    </cfRule>
  </conditionalFormatting>
  <conditionalFormatting sqref="AW26:AX26 AW25">
    <cfRule type="cellIs" dxfId="130" priority="31" operator="lessThan">
      <formula>0</formula>
    </cfRule>
  </conditionalFormatting>
  <conditionalFormatting sqref="AY26:AZ26 AY25">
    <cfRule type="cellIs" dxfId="129" priority="30" operator="lessThan">
      <formula>0</formula>
    </cfRule>
  </conditionalFormatting>
  <conditionalFormatting sqref="BA26:BB26 BA25">
    <cfRule type="cellIs" dxfId="128" priority="29" operator="lessThan">
      <formula>0</formula>
    </cfRule>
  </conditionalFormatting>
  <conditionalFormatting sqref="AQ25">
    <cfRule type="cellIs" dxfId="127" priority="27" operator="lessThan">
      <formula>0</formula>
    </cfRule>
  </conditionalFormatting>
  <conditionalFormatting sqref="AL26">
    <cfRule type="cellIs" dxfId="126" priority="26" operator="lessThan">
      <formula>0</formula>
    </cfRule>
  </conditionalFormatting>
  <conditionalFormatting sqref="BG9:BH10 BJ9:BK9">
    <cfRule type="cellIs" dxfId="125" priority="23" operator="lessThan">
      <formula>0</formula>
    </cfRule>
  </conditionalFormatting>
  <conditionalFormatting sqref="BI10:BL10">
    <cfRule type="cellIs" dxfId="124" priority="22" operator="lessThan">
      <formula>0</formula>
    </cfRule>
  </conditionalFormatting>
  <conditionalFormatting sqref="BJ15:BK15">
    <cfRule type="cellIs" dxfId="123" priority="21" operator="lessThan">
      <formula>0</formula>
    </cfRule>
  </conditionalFormatting>
  <conditionalFormatting sqref="BJ15:BK15">
    <cfRule type="cellIs" dxfId="122" priority="20" operator="lessThan">
      <formula>0</formula>
    </cfRule>
  </conditionalFormatting>
  <conditionalFormatting sqref="BF25 BD25 BB25 AZ25 AX25 AV25 AT25 AR25 AP25 AN25 AL25 AJ25 AH25 AF25 AD25 AB25 Z25 X25 V25 T25 R25 P25 N25 L25">
    <cfRule type="cellIs" dxfId="121" priority="19" operator="lessThan">
      <formula>0</formula>
    </cfRule>
  </conditionalFormatting>
  <conditionalFormatting sqref="Q27:AL27 BE27:BF27">
    <cfRule type="cellIs" dxfId="120" priority="18" operator="lessThan">
      <formula>0</formula>
    </cfRule>
  </conditionalFormatting>
  <conditionalFormatting sqref="BH27:BK27">
    <cfRule type="cellIs" dxfId="119" priority="17" operator="lessThan">
      <formula>0</formula>
    </cfRule>
  </conditionalFormatting>
  <conditionalFormatting sqref="BH27:BI27 Q27:R27 T27 V27:X27 Z27 AB27">
    <cfRule type="cellIs" dxfId="118" priority="16" operator="lessThan">
      <formula>0</formula>
    </cfRule>
  </conditionalFormatting>
  <conditionalFormatting sqref="Q27:R27 T27 V27:X27 Z27 AB27">
    <cfRule type="cellIs" dxfId="117" priority="15" operator="lessThan">
      <formula>0</formula>
    </cfRule>
  </conditionalFormatting>
  <conditionalFormatting sqref="Q27:R27 T27 V27:X27 Z27 AB27">
    <cfRule type="cellIs" dxfId="116" priority="14" operator="lessThan">
      <formula>0</formula>
    </cfRule>
  </conditionalFormatting>
  <conditionalFormatting sqref="AO27:AP27">
    <cfRule type="cellIs" dxfId="115" priority="12" operator="lessThan">
      <formula>0</formula>
    </cfRule>
  </conditionalFormatting>
  <conditionalFormatting sqref="AQ27:AR27">
    <cfRule type="cellIs" dxfId="114" priority="11" operator="lessThan">
      <formula>0</formula>
    </cfRule>
  </conditionalFormatting>
  <conditionalFormatting sqref="AS27:AT27">
    <cfRule type="cellIs" dxfId="113" priority="10" operator="lessThan">
      <formula>0</formula>
    </cfRule>
  </conditionalFormatting>
  <conditionalFormatting sqref="BC27:BD27">
    <cfRule type="cellIs" dxfId="112" priority="5" operator="lessThan">
      <formula>0</formula>
    </cfRule>
  </conditionalFormatting>
  <conditionalFormatting sqref="AM27:AN27">
    <cfRule type="cellIs" dxfId="111" priority="13" operator="lessThan">
      <formula>0</formula>
    </cfRule>
  </conditionalFormatting>
  <conditionalFormatting sqref="AU27:AV27">
    <cfRule type="cellIs" dxfId="110" priority="9" operator="lessThan">
      <formula>0</formula>
    </cfRule>
  </conditionalFormatting>
  <conditionalFormatting sqref="AW27:AX27">
    <cfRule type="cellIs" dxfId="109" priority="8" operator="lessThan">
      <formula>0</formula>
    </cfRule>
  </conditionalFormatting>
  <conditionalFormatting sqref="AY27:AZ27">
    <cfRule type="cellIs" dxfId="108" priority="7" operator="lessThan">
      <formula>0</formula>
    </cfRule>
  </conditionalFormatting>
  <conditionalFormatting sqref="BA27:BB27">
    <cfRule type="cellIs" dxfId="107" priority="6" operator="lessThan">
      <formula>0</formula>
    </cfRule>
  </conditionalFormatting>
  <conditionalFormatting sqref="G27:I27 L27:P27">
    <cfRule type="cellIs" dxfId="106" priority="4" operator="lessThan">
      <formula>0</formula>
    </cfRule>
  </conditionalFormatting>
  <conditionalFormatting sqref="G27:I27 L27:M27">
    <cfRule type="cellIs" dxfId="105" priority="3" operator="lessThan">
      <formula>0</formula>
    </cfRule>
  </conditionalFormatting>
  <conditionalFormatting sqref="G27:I27">
    <cfRule type="cellIs" dxfId="104" priority="2" operator="lessThan">
      <formula>0</formula>
    </cfRule>
  </conditionalFormatting>
  <conditionalFormatting sqref="G27:I27">
    <cfRule type="cellIs" dxfId="103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8" fitToHeight="0" orientation="landscape" r:id="rId1"/>
  <headerFooter>
    <oddFooter>&amp;CStrana &amp;P z &amp;N</oddFooter>
  </headerFooter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>
    <tabColor rgb="FF00B0F0"/>
    <pageSetUpPr fitToPage="1"/>
  </sheetPr>
  <dimension ref="B1:CM35"/>
  <sheetViews>
    <sheetView showGridLines="0" view="pageBreakPreview" topLeftCell="A11" zoomScale="85" zoomScaleNormal="85" zoomScaleSheetLayoutView="85" workbookViewId="0">
      <selection activeCell="J16" sqref="J16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9.33203125" style="8"/>
    <col min="12" max="12" width="19.6640625" style="8" customWidth="1"/>
    <col min="13" max="17" width="9.33203125" style="8" hidden="1" customWidth="1"/>
    <col min="18" max="18" width="13.5" style="8" hidden="1" customWidth="1"/>
    <col min="19" max="19" width="9.33203125" style="8" hidden="1" customWidth="1"/>
    <col min="20" max="20" width="15.33203125" style="8" hidden="1" customWidth="1"/>
    <col min="21" max="21" width="9.33203125" style="8" hidden="1" customWidth="1"/>
    <col min="22" max="22" width="15.6640625" style="8" hidden="1" customWidth="1"/>
    <col min="23" max="23" width="9.33203125" style="8" hidden="1" customWidth="1"/>
    <col min="24" max="24" width="17.5" style="8" hidden="1" customWidth="1"/>
    <col min="25" max="25" width="9.6640625" style="8" hidden="1" customWidth="1"/>
    <col min="26" max="26" width="8.83203125" style="8" hidden="1" customWidth="1"/>
    <col min="27" max="27" width="9.33203125" style="8" hidden="1" customWidth="1"/>
    <col min="28" max="28" width="20.83203125" style="8" hidden="1" customWidth="1"/>
    <col min="29" max="29" width="9.33203125" style="8" hidden="1" customWidth="1"/>
    <col min="30" max="30" width="17.1640625" style="8" hidden="1" customWidth="1"/>
    <col min="31" max="31" width="9.33203125" style="8" hidden="1" customWidth="1"/>
    <col min="32" max="32" width="21.83203125" style="8" hidden="1" customWidth="1"/>
    <col min="33" max="33" width="9.33203125" style="8" hidden="1" customWidth="1"/>
    <col min="34" max="34" width="15.6640625" style="8" hidden="1" customWidth="1"/>
    <col min="35" max="35" width="12.83203125" style="8" hidden="1" customWidth="1"/>
    <col min="36" max="43" width="15.83203125" style="8" hidden="1" customWidth="1"/>
    <col min="44" max="44" width="17" style="8" hidden="1" customWidth="1"/>
    <col min="45" max="47" width="15.83203125" style="8" hidden="1" customWidth="1"/>
    <col min="48" max="48" width="19.1640625" style="8" hidden="1" customWidth="1"/>
    <col min="49" max="49" width="15.83203125" style="8" hidden="1" customWidth="1"/>
    <col min="50" max="50" width="16.83203125" style="8" hidden="1" customWidth="1"/>
    <col min="51" max="51" width="15.83203125" style="8" hidden="1" customWidth="1"/>
    <col min="52" max="52" width="17.1640625" style="8" hidden="1" customWidth="1"/>
    <col min="53" max="55" width="15.83203125" style="8" hidden="1" customWidth="1"/>
    <col min="56" max="56" width="19.83203125" style="8" hidden="1" customWidth="1"/>
    <col min="57" max="57" width="15.83203125" style="8" hidden="1" customWidth="1"/>
    <col min="58" max="58" width="19.6640625" style="8" hidden="1" customWidth="1"/>
    <col min="59" max="59" width="15.83203125" style="8" hidden="1" customWidth="1"/>
    <col min="60" max="60" width="19.6640625" style="8" hidden="1" customWidth="1"/>
    <col min="61" max="61" width="15.83203125" style="8" customWidth="1"/>
    <col min="62" max="62" width="19.6640625" style="8" customWidth="1"/>
    <col min="63" max="63" width="15.83203125" style="8" customWidth="1"/>
    <col min="64" max="64" width="21.1640625" style="8" customWidth="1"/>
    <col min="65" max="65" width="12.6640625" style="8" customWidth="1"/>
    <col min="66" max="66" width="9.33203125" style="8"/>
    <col min="67" max="67" width="21.33203125" style="8" customWidth="1"/>
    <col min="68" max="68" width="13.83203125" style="8" bestFit="1" customWidth="1"/>
    <col min="69" max="69" width="44.33203125" style="8" hidden="1" customWidth="1"/>
    <col min="70" max="70" width="41.33203125" style="8" hidden="1" customWidth="1"/>
    <col min="71" max="71" width="49" style="8" hidden="1" customWidth="1"/>
    <col min="72" max="72" width="21.33203125" style="8" hidden="1" customWidth="1"/>
    <col min="73" max="73" width="22" style="8" hidden="1" customWidth="1"/>
    <col min="74" max="75" width="0" style="8" hidden="1" customWidth="1"/>
    <col min="76" max="76" width="20.5" style="8" hidden="1" customWidth="1"/>
    <col min="77" max="77" width="0" style="8" hidden="1" customWidth="1"/>
    <col min="78" max="78" width="33.5" style="8" hidden="1" customWidth="1"/>
    <col min="79" max="79" width="18.5" style="8" hidden="1" customWidth="1"/>
    <col min="80" max="80" width="34.5" style="8" hidden="1" customWidth="1"/>
    <col min="81" max="81" width="23" style="8" hidden="1" customWidth="1"/>
    <col min="82" max="82" width="22.1640625" style="8" hidden="1" customWidth="1"/>
    <col min="83" max="83" width="22.5" style="8" hidden="1" customWidth="1"/>
    <col min="84" max="84" width="0" style="8" hidden="1" customWidth="1"/>
    <col min="85" max="85" width="18.1640625" style="8" hidden="1" customWidth="1"/>
    <col min="86" max="87" width="0" style="8" hidden="1" customWidth="1"/>
    <col min="88" max="88" width="13.5" style="8" hidden="1" customWidth="1"/>
    <col min="89" max="89" width="0" style="8" hidden="1" customWidth="1"/>
    <col min="90" max="90" width="17.6640625" style="8" hidden="1" customWidth="1"/>
    <col min="91" max="91" width="44.83203125" style="213" hidden="1" customWidth="1"/>
    <col min="92" max="16384" width="9.33203125" style="8"/>
  </cols>
  <sheetData>
    <row r="1" spans="2:91" ht="18.95" customHeight="1" x14ac:dyDescent="0.2">
      <c r="F1" s="11"/>
      <c r="G1" s="89"/>
      <c r="H1" s="88"/>
      <c r="I1" s="8"/>
      <c r="J1" s="9"/>
      <c r="K1" s="10"/>
      <c r="L1" s="10"/>
    </row>
    <row r="2" spans="2:91" s="88" customFormat="1" ht="18" customHeight="1" x14ac:dyDescent="0.25">
      <c r="E2" s="13"/>
      <c r="F2" s="11" t="s">
        <v>824</v>
      </c>
      <c r="G2" s="89" t="s">
        <v>975</v>
      </c>
      <c r="I2" s="91"/>
      <c r="J2" s="141"/>
      <c r="K2" s="90"/>
      <c r="L2" s="91"/>
      <c r="M2" s="92"/>
      <c r="N2" s="93"/>
      <c r="O2" s="92"/>
      <c r="P2" s="93"/>
      <c r="Q2" s="92"/>
      <c r="R2" s="93"/>
      <c r="S2" s="92"/>
      <c r="T2" s="93"/>
      <c r="U2" s="92"/>
      <c r="V2" s="93"/>
      <c r="W2" s="92"/>
      <c r="X2" s="93"/>
      <c r="Y2" s="92"/>
      <c r="Z2" s="93"/>
      <c r="AA2" s="92"/>
      <c r="AB2" s="93"/>
      <c r="AC2" s="92"/>
      <c r="AD2" s="93"/>
      <c r="AE2" s="92"/>
      <c r="AF2" s="93"/>
      <c r="AG2" s="92"/>
      <c r="AH2" s="93"/>
      <c r="AI2" s="92"/>
      <c r="AJ2" s="93"/>
      <c r="AK2" s="92"/>
      <c r="AL2" s="93"/>
      <c r="AM2" s="92"/>
      <c r="AN2" s="93"/>
      <c r="AO2" s="92"/>
      <c r="AP2" s="93"/>
      <c r="AQ2" s="92"/>
      <c r="AR2" s="93"/>
      <c r="AS2" s="92"/>
      <c r="AT2" s="93"/>
      <c r="AU2" s="92"/>
      <c r="AV2" s="93"/>
      <c r="AW2" s="92"/>
      <c r="AX2" s="93"/>
      <c r="AY2" s="92"/>
      <c r="AZ2" s="93"/>
      <c r="BA2" s="92"/>
      <c r="BB2" s="93"/>
      <c r="BC2" s="92"/>
      <c r="BD2" s="93"/>
      <c r="BE2" s="92"/>
      <c r="BF2" s="94"/>
      <c r="BG2" s="92"/>
      <c r="BH2" s="94"/>
      <c r="BI2" s="92"/>
      <c r="BJ2" s="94"/>
      <c r="BK2" s="95"/>
      <c r="BL2" s="96"/>
      <c r="BM2" s="96"/>
      <c r="BN2" s="97"/>
      <c r="BO2" s="142"/>
      <c r="CM2" s="214"/>
    </row>
    <row r="3" spans="2:91" s="88" customFormat="1" ht="18" customHeight="1" x14ac:dyDescent="0.25">
      <c r="E3" s="13"/>
      <c r="F3" s="11" t="s">
        <v>826</v>
      </c>
      <c r="G3" s="89" t="s">
        <v>3</v>
      </c>
      <c r="H3" s="13"/>
      <c r="I3" s="91"/>
      <c r="J3" s="141"/>
      <c r="K3" s="90"/>
      <c r="L3" s="91"/>
      <c r="M3" s="92"/>
      <c r="N3" s="93"/>
      <c r="O3" s="92"/>
      <c r="P3" s="93"/>
      <c r="Q3" s="92"/>
      <c r="R3" s="93"/>
      <c r="S3" s="92"/>
      <c r="T3" s="93"/>
      <c r="U3" s="92"/>
      <c r="V3" s="93"/>
      <c r="W3" s="92"/>
      <c r="X3" s="93"/>
      <c r="Y3" s="92"/>
      <c r="Z3" s="93"/>
      <c r="AA3" s="92"/>
      <c r="AB3" s="93"/>
      <c r="AC3" s="92"/>
      <c r="AD3" s="93"/>
      <c r="AE3" s="92"/>
      <c r="AF3" s="93"/>
      <c r="AG3" s="92"/>
      <c r="AH3" s="93"/>
      <c r="AI3" s="92"/>
      <c r="AJ3" s="93"/>
      <c r="AK3" s="92"/>
      <c r="AL3" s="93"/>
      <c r="AM3" s="92"/>
      <c r="AN3" s="93"/>
      <c r="AO3" s="92"/>
      <c r="AP3" s="93"/>
      <c r="AQ3" s="92"/>
      <c r="AR3" s="93"/>
      <c r="AS3" s="92"/>
      <c r="AT3" s="93"/>
      <c r="AU3" s="92"/>
      <c r="AV3" s="93"/>
      <c r="AW3" s="92"/>
      <c r="AX3" s="93"/>
      <c r="AY3" s="92"/>
      <c r="AZ3" s="93"/>
      <c r="BA3" s="92"/>
      <c r="BB3" s="93"/>
      <c r="BC3" s="92"/>
      <c r="BD3" s="93"/>
      <c r="BE3" s="92"/>
      <c r="BF3" s="94"/>
      <c r="BG3" s="92"/>
      <c r="BH3" s="94"/>
      <c r="BI3" s="92"/>
      <c r="BJ3" s="94"/>
      <c r="BK3" s="95"/>
      <c r="BL3" s="96"/>
      <c r="BM3" s="96"/>
      <c r="BN3" s="97"/>
      <c r="BO3" s="142"/>
      <c r="CM3" s="214"/>
    </row>
    <row r="4" spans="2:91" s="13" customFormat="1" ht="18" customHeight="1" x14ac:dyDescent="0.25">
      <c r="F4" s="1" t="s">
        <v>827</v>
      </c>
      <c r="G4" s="12" t="s">
        <v>828</v>
      </c>
      <c r="I4" s="91"/>
      <c r="J4" s="143"/>
      <c r="K4" s="98"/>
      <c r="L4" s="91"/>
      <c r="M4" s="99"/>
      <c r="N4" s="100"/>
      <c r="O4" s="99"/>
      <c r="P4" s="100"/>
      <c r="Q4" s="99"/>
      <c r="R4" s="100"/>
      <c r="S4" s="99"/>
      <c r="T4" s="100"/>
      <c r="U4" s="99"/>
      <c r="V4" s="100"/>
      <c r="W4" s="99"/>
      <c r="X4" s="100"/>
      <c r="Y4" s="99"/>
      <c r="Z4" s="100"/>
      <c r="AA4" s="99"/>
      <c r="AB4" s="100"/>
      <c r="AC4" s="99"/>
      <c r="AD4" s="100"/>
      <c r="AE4" s="99"/>
      <c r="AF4" s="100"/>
      <c r="AG4" s="99"/>
      <c r="AH4" s="100"/>
      <c r="AI4" s="99"/>
      <c r="AJ4" s="100"/>
      <c r="AK4" s="99"/>
      <c r="AL4" s="100"/>
      <c r="AM4" s="99"/>
      <c r="AN4" s="100"/>
      <c r="AO4" s="99"/>
      <c r="AP4" s="100"/>
      <c r="AQ4" s="99"/>
      <c r="AR4" s="100"/>
      <c r="AS4" s="99"/>
      <c r="AT4" s="100"/>
      <c r="AU4" s="99"/>
      <c r="AV4" s="100"/>
      <c r="AW4" s="99"/>
      <c r="AX4" s="100"/>
      <c r="AY4" s="99"/>
      <c r="AZ4" s="100"/>
      <c r="BA4" s="99"/>
      <c r="BB4" s="100"/>
      <c r="BC4" s="99"/>
      <c r="BD4" s="100"/>
      <c r="BE4" s="99"/>
      <c r="BF4" s="101"/>
      <c r="BG4" s="99"/>
      <c r="BH4" s="101"/>
      <c r="BI4" s="99"/>
      <c r="BJ4" s="101"/>
      <c r="BK4" s="102"/>
      <c r="BL4" s="103"/>
      <c r="BM4" s="103"/>
      <c r="BN4" s="104"/>
      <c r="BO4" s="144"/>
      <c r="CM4" s="215"/>
    </row>
    <row r="5" spans="2:91" s="13" customFormat="1" ht="18" customHeight="1" x14ac:dyDescent="0.25">
      <c r="F5" s="1" t="s">
        <v>829</v>
      </c>
      <c r="G5" s="12" t="s">
        <v>830</v>
      </c>
      <c r="I5" s="91"/>
      <c r="J5" s="143"/>
      <c r="K5" s="98"/>
      <c r="L5" s="91"/>
      <c r="M5" s="99"/>
      <c r="N5" s="100"/>
      <c r="O5" s="99"/>
      <c r="P5" s="100"/>
      <c r="Q5" s="99"/>
      <c r="R5" s="100"/>
      <c r="S5" s="99"/>
      <c r="T5" s="100"/>
      <c r="U5" s="99"/>
      <c r="V5" s="100"/>
      <c r="W5" s="99"/>
      <c r="X5" s="100"/>
      <c r="Y5" s="99"/>
      <c r="Z5" s="100"/>
      <c r="AA5" s="99"/>
      <c r="AB5" s="100"/>
      <c r="AC5" s="99"/>
      <c r="AD5" s="100"/>
      <c r="AE5" s="99"/>
      <c r="AF5" s="100"/>
      <c r="AG5" s="99"/>
      <c r="AH5" s="100"/>
      <c r="AI5" s="99"/>
      <c r="AJ5" s="100"/>
      <c r="AK5" s="99"/>
      <c r="AL5" s="100"/>
      <c r="AM5" s="99"/>
      <c r="AN5" s="100"/>
      <c r="AO5" s="99"/>
      <c r="AP5" s="100"/>
      <c r="AQ5" s="99"/>
      <c r="AR5" s="100"/>
      <c r="AS5" s="99"/>
      <c r="AT5" s="100"/>
      <c r="AU5" s="99"/>
      <c r="AV5" s="100"/>
      <c r="AW5" s="99"/>
      <c r="AX5" s="100"/>
      <c r="AY5" s="99"/>
      <c r="AZ5" s="100"/>
      <c r="BA5" s="99"/>
      <c r="BB5" s="100"/>
      <c r="BC5" s="99"/>
      <c r="BD5" s="100"/>
      <c r="BE5" s="99"/>
      <c r="BF5" s="101"/>
      <c r="BG5" s="99"/>
      <c r="BH5" s="101"/>
      <c r="BI5" s="99"/>
      <c r="BJ5" s="101"/>
      <c r="BK5" s="102"/>
      <c r="BL5" s="103"/>
      <c r="BM5" s="103"/>
      <c r="BN5" s="104"/>
      <c r="BO5" s="144"/>
      <c r="CM5" s="215"/>
    </row>
    <row r="6" spans="2:91" s="13" customFormat="1" ht="18" customHeight="1" x14ac:dyDescent="0.25">
      <c r="F6" s="11" t="s">
        <v>831</v>
      </c>
      <c r="G6" s="12" t="s">
        <v>832</v>
      </c>
      <c r="I6" s="91"/>
      <c r="J6" s="143"/>
      <c r="K6" s="98"/>
      <c r="L6" s="91"/>
      <c r="M6" s="99"/>
      <c r="N6" s="100"/>
      <c r="O6" s="99"/>
      <c r="P6" s="100"/>
      <c r="Q6" s="99"/>
      <c r="R6" s="100"/>
      <c r="S6" s="99"/>
      <c r="T6" s="100"/>
      <c r="U6" s="99"/>
      <c r="V6" s="100"/>
      <c r="W6" s="99"/>
      <c r="X6" s="100"/>
      <c r="Y6" s="99"/>
      <c r="Z6" s="100"/>
      <c r="AA6" s="99"/>
      <c r="AB6" s="100"/>
      <c r="AC6" s="99"/>
      <c r="AD6" s="100"/>
      <c r="AE6" s="99"/>
      <c r="AF6" s="100"/>
      <c r="AG6" s="99"/>
      <c r="AH6" s="100"/>
      <c r="AI6" s="99"/>
      <c r="AJ6" s="100"/>
      <c r="AK6" s="99"/>
      <c r="AL6" s="100"/>
      <c r="AM6" s="99"/>
      <c r="AN6" s="100"/>
      <c r="AO6" s="99"/>
      <c r="AP6" s="100"/>
      <c r="AQ6" s="99"/>
      <c r="AR6" s="100"/>
      <c r="AS6" s="99"/>
      <c r="AT6" s="100"/>
      <c r="AU6" s="99"/>
      <c r="AV6" s="100"/>
      <c r="AW6" s="99"/>
      <c r="AX6" s="100"/>
      <c r="AY6" s="99"/>
      <c r="AZ6" s="100"/>
      <c r="BA6" s="99"/>
      <c r="BB6" s="100"/>
      <c r="BC6" s="99"/>
      <c r="BD6" s="100"/>
      <c r="BE6" s="99"/>
      <c r="BF6" s="101"/>
      <c r="BG6" s="99"/>
      <c r="BH6" s="101"/>
      <c r="BI6" s="99"/>
      <c r="BJ6" s="101"/>
      <c r="BK6" s="102"/>
      <c r="BL6" s="103"/>
      <c r="BM6" s="103"/>
      <c r="BN6" s="104"/>
      <c r="BO6" s="144"/>
      <c r="CM6" s="215"/>
    </row>
    <row r="7" spans="2:91" s="13" customFormat="1" ht="18" customHeight="1" x14ac:dyDescent="0.25">
      <c r="F7" s="11" t="s">
        <v>833</v>
      </c>
      <c r="G7" s="105" t="s">
        <v>834</v>
      </c>
      <c r="H7" s="145"/>
      <c r="I7" s="91"/>
      <c r="J7" s="143"/>
      <c r="K7" s="98"/>
      <c r="L7" s="91"/>
      <c r="M7" s="99"/>
      <c r="N7" s="100"/>
      <c r="O7" s="99"/>
      <c r="P7" s="100"/>
      <c r="Q7" s="99"/>
      <c r="R7" s="100"/>
      <c r="S7" s="99"/>
      <c r="T7" s="100"/>
      <c r="U7" s="99"/>
      <c r="V7" s="100"/>
      <c r="W7" s="99"/>
      <c r="X7" s="100"/>
      <c r="Y7" s="99"/>
      <c r="Z7" s="100"/>
      <c r="AA7" s="99"/>
      <c r="AB7" s="100"/>
      <c r="AC7" s="99"/>
      <c r="AD7" s="100"/>
      <c r="AE7" s="99"/>
      <c r="AF7" s="100"/>
      <c r="AG7" s="99"/>
      <c r="AH7" s="100"/>
      <c r="AI7" s="99"/>
      <c r="AJ7" s="100"/>
      <c r="AK7" s="99"/>
      <c r="AL7" s="100"/>
      <c r="AM7" s="99"/>
      <c r="AN7" s="100"/>
      <c r="AO7" s="99"/>
      <c r="AP7" s="100"/>
      <c r="AQ7" s="99"/>
      <c r="AR7" s="100"/>
      <c r="AS7" s="99"/>
      <c r="AT7" s="100"/>
      <c r="AU7" s="99"/>
      <c r="AV7" s="100"/>
      <c r="AW7" s="99"/>
      <c r="AX7" s="100"/>
      <c r="AY7" s="99"/>
      <c r="AZ7" s="100"/>
      <c r="BA7" s="99"/>
      <c r="BB7" s="100"/>
      <c r="BC7" s="99"/>
      <c r="BD7" s="100"/>
      <c r="BE7" s="99"/>
      <c r="BF7" s="101"/>
      <c r="BG7" s="99"/>
      <c r="BH7" s="101"/>
      <c r="BI7" s="99"/>
      <c r="BJ7" s="101"/>
      <c r="BK7" s="102"/>
      <c r="BL7" s="103"/>
      <c r="BM7" s="103"/>
      <c r="BN7" s="104"/>
      <c r="BO7" s="144"/>
      <c r="CM7" s="215"/>
    </row>
    <row r="8" spans="2:91" s="14" customFormat="1" ht="18" customHeight="1" x14ac:dyDescent="0.2">
      <c r="D8" s="146"/>
      <c r="F8" s="11"/>
      <c r="G8" s="105"/>
      <c r="H8" s="145"/>
      <c r="K8" s="147"/>
      <c r="L8" s="148" t="s">
        <v>850</v>
      </c>
      <c r="M8" s="350">
        <v>43982</v>
      </c>
      <c r="N8" s="350"/>
      <c r="O8" s="351">
        <v>44012</v>
      </c>
      <c r="P8" s="351"/>
      <c r="Q8" s="351">
        <v>44043</v>
      </c>
      <c r="R8" s="351"/>
      <c r="S8" s="351">
        <v>44074</v>
      </c>
      <c r="T8" s="351"/>
      <c r="U8" s="351">
        <v>44104</v>
      </c>
      <c r="V8" s="351"/>
      <c r="W8" s="351">
        <v>44135</v>
      </c>
      <c r="X8" s="351"/>
      <c r="Y8" s="351">
        <v>44165</v>
      </c>
      <c r="Z8" s="351"/>
      <c r="AA8" s="351">
        <v>44196</v>
      </c>
      <c r="AB8" s="351"/>
      <c r="AC8" s="351">
        <v>44227</v>
      </c>
      <c r="AD8" s="351"/>
      <c r="AE8" s="351">
        <v>44255</v>
      </c>
      <c r="AF8" s="351"/>
      <c r="AG8" s="351">
        <v>44286</v>
      </c>
      <c r="AH8" s="351"/>
      <c r="AI8" s="351">
        <v>44316</v>
      </c>
      <c r="AJ8" s="351"/>
      <c r="AK8" s="351">
        <v>44347</v>
      </c>
      <c r="AL8" s="351"/>
      <c r="AM8" s="351">
        <v>44377</v>
      </c>
      <c r="AN8" s="351"/>
      <c r="AO8" s="351">
        <v>44408</v>
      </c>
      <c r="AP8" s="351"/>
      <c r="AQ8" s="351">
        <v>44439</v>
      </c>
      <c r="AR8" s="351"/>
      <c r="AS8" s="351">
        <v>44469</v>
      </c>
      <c r="AT8" s="351"/>
      <c r="AU8" s="351">
        <v>44500</v>
      </c>
      <c r="AV8" s="351"/>
      <c r="AW8" s="351">
        <v>44530</v>
      </c>
      <c r="AX8" s="351"/>
      <c r="AY8" s="351">
        <v>44561</v>
      </c>
      <c r="AZ8" s="351"/>
      <c r="BA8" s="351">
        <v>44592</v>
      </c>
      <c r="BB8" s="351"/>
      <c r="BC8" s="351">
        <v>44620</v>
      </c>
      <c r="BD8" s="351"/>
      <c r="BE8" s="351">
        <v>44651</v>
      </c>
      <c r="BF8" s="351"/>
      <c r="BG8" s="351" t="s">
        <v>1193</v>
      </c>
      <c r="BH8" s="351"/>
      <c r="BI8" s="351">
        <v>44926</v>
      </c>
      <c r="BJ8" s="351"/>
      <c r="BK8" s="149" t="s">
        <v>851</v>
      </c>
      <c r="BL8" s="180" t="str">
        <f>+C12</f>
        <v>VN - Vedlejší a ostatní náklady</v>
      </c>
      <c r="BM8" s="180"/>
      <c r="BO8" s="151"/>
      <c r="CM8" s="216"/>
    </row>
    <row r="9" spans="2:91" s="15" customFormat="1" ht="20.100000000000001" customHeight="1" x14ac:dyDescent="0.2">
      <c r="C9" s="174"/>
      <c r="D9" s="176"/>
      <c r="E9" s="176"/>
      <c r="F9" s="176"/>
      <c r="G9" s="176"/>
      <c r="H9" s="176"/>
      <c r="I9" s="177"/>
      <c r="J9" s="178"/>
      <c r="K9" s="352" t="s">
        <v>837</v>
      </c>
      <c r="L9" s="352"/>
      <c r="M9" s="353" t="s">
        <v>852</v>
      </c>
      <c r="N9" s="353"/>
      <c r="O9" s="353" t="s">
        <v>853</v>
      </c>
      <c r="P9" s="353"/>
      <c r="Q9" s="353" t="s">
        <v>854</v>
      </c>
      <c r="R9" s="353"/>
      <c r="S9" s="353" t="s">
        <v>855</v>
      </c>
      <c r="T9" s="353"/>
      <c r="U9" s="353" t="s">
        <v>856</v>
      </c>
      <c r="V9" s="353"/>
      <c r="W9" s="353" t="s">
        <v>838</v>
      </c>
      <c r="X9" s="353"/>
      <c r="Y9" s="353" t="s">
        <v>839</v>
      </c>
      <c r="Z9" s="353"/>
      <c r="AA9" s="353" t="s">
        <v>840</v>
      </c>
      <c r="AB9" s="353"/>
      <c r="AC9" s="353" t="s">
        <v>857</v>
      </c>
      <c r="AD9" s="353"/>
      <c r="AE9" s="353" t="s">
        <v>858</v>
      </c>
      <c r="AF9" s="353"/>
      <c r="AG9" s="353" t="s">
        <v>859</v>
      </c>
      <c r="AH9" s="353"/>
      <c r="AI9" s="353" t="s">
        <v>860</v>
      </c>
      <c r="AJ9" s="353"/>
      <c r="AK9" s="353" t="s">
        <v>861</v>
      </c>
      <c r="AL9" s="353"/>
      <c r="AM9" s="353" t="s">
        <v>862</v>
      </c>
      <c r="AN9" s="353"/>
      <c r="AO9" s="353" t="s">
        <v>863</v>
      </c>
      <c r="AP9" s="353"/>
      <c r="AQ9" s="353" t="s">
        <v>864</v>
      </c>
      <c r="AR9" s="353"/>
      <c r="AS9" s="353" t="s">
        <v>865</v>
      </c>
      <c r="AT9" s="353"/>
      <c r="AU9" s="353" t="s">
        <v>841</v>
      </c>
      <c r="AV9" s="353"/>
      <c r="AW9" s="353" t="s">
        <v>842</v>
      </c>
      <c r="AX9" s="353"/>
      <c r="AY9" s="353" t="s">
        <v>843</v>
      </c>
      <c r="AZ9" s="353"/>
      <c r="BA9" s="353" t="s">
        <v>866</v>
      </c>
      <c r="BB9" s="353"/>
      <c r="BC9" s="353" t="s">
        <v>867</v>
      </c>
      <c r="BD9" s="353"/>
      <c r="BE9" s="353" t="s">
        <v>868</v>
      </c>
      <c r="BF9" s="353"/>
      <c r="BG9" s="353" t="s">
        <v>868</v>
      </c>
      <c r="BH9" s="353"/>
      <c r="BI9" s="353" t="s">
        <v>1226</v>
      </c>
      <c r="BJ9" s="353"/>
      <c r="BK9" s="339" t="s">
        <v>844</v>
      </c>
      <c r="BL9" s="339"/>
      <c r="BM9" s="340"/>
      <c r="BN9" s="341" t="s">
        <v>845</v>
      </c>
      <c r="BO9" s="341"/>
      <c r="BP9" s="342"/>
      <c r="CM9" s="217"/>
    </row>
    <row r="10" spans="2:91" s="15" customFormat="1" ht="24" customHeight="1" x14ac:dyDescent="0.2">
      <c r="C10" s="16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2" t="s">
        <v>874</v>
      </c>
      <c r="L10" s="23" t="s">
        <v>847</v>
      </c>
      <c r="M10" s="354" t="s">
        <v>847</v>
      </c>
      <c r="N10" s="354"/>
      <c r="O10" s="355" t="s">
        <v>847</v>
      </c>
      <c r="P10" s="355"/>
      <c r="Q10" s="24" t="s">
        <v>874</v>
      </c>
      <c r="R10" s="86" t="s">
        <v>847</v>
      </c>
      <c r="S10" s="355" t="s">
        <v>847</v>
      </c>
      <c r="T10" s="355"/>
      <c r="U10" s="355" t="s">
        <v>847</v>
      </c>
      <c r="V10" s="355"/>
      <c r="W10" s="354" t="s">
        <v>847</v>
      </c>
      <c r="X10" s="354"/>
      <c r="Y10" s="354" t="s">
        <v>847</v>
      </c>
      <c r="Z10" s="354"/>
      <c r="AA10" s="354" t="s">
        <v>847</v>
      </c>
      <c r="AB10" s="354"/>
      <c r="AC10" s="354" t="s">
        <v>847</v>
      </c>
      <c r="AD10" s="354"/>
      <c r="AE10" s="354" t="s">
        <v>847</v>
      </c>
      <c r="AF10" s="354"/>
      <c r="AG10" s="354" t="s">
        <v>847</v>
      </c>
      <c r="AH10" s="354"/>
      <c r="AI10" s="354" t="s">
        <v>847</v>
      </c>
      <c r="AJ10" s="354"/>
      <c r="AK10" s="354" t="s">
        <v>847</v>
      </c>
      <c r="AL10" s="354"/>
      <c r="AM10" s="205"/>
      <c r="AN10" s="205" t="s">
        <v>847</v>
      </c>
      <c r="AO10" s="354" t="s">
        <v>847</v>
      </c>
      <c r="AP10" s="354"/>
      <c r="AQ10" s="205"/>
      <c r="AR10" s="205" t="s">
        <v>847</v>
      </c>
      <c r="AS10" s="354" t="s">
        <v>847</v>
      </c>
      <c r="AT10" s="354"/>
      <c r="AU10" s="354" t="s">
        <v>847</v>
      </c>
      <c r="AV10" s="354"/>
      <c r="AW10" s="354" t="s">
        <v>847</v>
      </c>
      <c r="AX10" s="354"/>
      <c r="AY10" s="205"/>
      <c r="AZ10" s="205" t="s">
        <v>847</v>
      </c>
      <c r="BA10" s="205"/>
      <c r="BB10" s="205" t="s">
        <v>847</v>
      </c>
      <c r="BC10" s="205"/>
      <c r="BD10" s="205" t="s">
        <v>847</v>
      </c>
      <c r="BE10" s="205"/>
      <c r="BF10" s="205" t="s">
        <v>847</v>
      </c>
      <c r="BG10" s="205"/>
      <c r="BH10" s="205" t="s">
        <v>847</v>
      </c>
      <c r="BI10" s="205"/>
      <c r="BJ10" s="205" t="s">
        <v>847</v>
      </c>
      <c r="BK10" s="25" t="s">
        <v>874</v>
      </c>
      <c r="BL10" s="26" t="s">
        <v>847</v>
      </c>
      <c r="BM10" s="26" t="s">
        <v>915</v>
      </c>
      <c r="BN10" s="27" t="s">
        <v>874</v>
      </c>
      <c r="BO10" s="28" t="s">
        <v>847</v>
      </c>
      <c r="BP10" s="55" t="s">
        <v>915</v>
      </c>
      <c r="BQ10" s="189" t="s">
        <v>935</v>
      </c>
      <c r="BR10" s="189" t="s">
        <v>987</v>
      </c>
      <c r="BS10" s="15" t="s">
        <v>990</v>
      </c>
      <c r="BT10" s="189" t="s">
        <v>1003</v>
      </c>
      <c r="BU10" s="189" t="s">
        <v>1020</v>
      </c>
      <c r="BX10" s="189" t="s">
        <v>1044</v>
      </c>
      <c r="BZ10" s="189" t="s">
        <v>1060</v>
      </c>
      <c r="CB10" s="189" t="s">
        <v>1089</v>
      </c>
      <c r="CC10" s="189" t="s">
        <v>1110</v>
      </c>
      <c r="CD10" s="189" t="s">
        <v>1136</v>
      </c>
      <c r="CE10" s="15" t="s">
        <v>1146</v>
      </c>
      <c r="CH10" s="189" t="s">
        <v>1163</v>
      </c>
      <c r="CJ10" s="189" t="s">
        <v>1176</v>
      </c>
      <c r="CL10" s="189" t="s">
        <v>1196</v>
      </c>
      <c r="CM10" s="217"/>
    </row>
    <row r="11" spans="2:91" s="15" customFormat="1" ht="12.75" x14ac:dyDescent="0.2">
      <c r="D11" s="29"/>
      <c r="E11" s="29"/>
      <c r="F11" s="29"/>
      <c r="G11" s="29"/>
      <c r="H11" s="30"/>
      <c r="I11" s="31"/>
      <c r="J11" s="32"/>
      <c r="K11" s="33"/>
      <c r="L11" s="34"/>
      <c r="M11" s="35"/>
      <c r="N11" s="35"/>
      <c r="O11" s="36"/>
      <c r="P11" s="35"/>
      <c r="Q11" s="35"/>
      <c r="R11" s="35"/>
      <c r="S11" s="35"/>
      <c r="T11" s="35"/>
      <c r="U11" s="35"/>
      <c r="V11" s="35"/>
      <c r="W11" s="37"/>
      <c r="X11" s="37"/>
      <c r="Y11" s="36"/>
      <c r="Z11" s="35"/>
      <c r="AA11" s="37"/>
      <c r="AB11" s="37"/>
      <c r="AC11" s="37"/>
      <c r="AD11" s="37"/>
      <c r="AE11" s="35"/>
      <c r="AF11" s="35"/>
      <c r="AG11" s="35"/>
      <c r="AH11" s="35"/>
      <c r="AI11" s="35"/>
      <c r="AJ11" s="35"/>
      <c r="AK11" s="35"/>
      <c r="AL11" s="35"/>
      <c r="AM11" s="201" t="s">
        <v>875</v>
      </c>
      <c r="AN11" s="35"/>
      <c r="AO11" s="35"/>
      <c r="AP11" s="35"/>
      <c r="AQ11" s="201" t="s">
        <v>875</v>
      </c>
      <c r="AR11" s="35"/>
      <c r="AS11" s="35"/>
      <c r="AT11" s="35"/>
      <c r="AU11" s="35"/>
      <c r="AV11" s="35"/>
      <c r="AW11" s="35"/>
      <c r="AX11" s="35"/>
      <c r="AY11" s="201" t="s">
        <v>875</v>
      </c>
      <c r="AZ11" s="35"/>
      <c r="BA11" s="201" t="s">
        <v>875</v>
      </c>
      <c r="BB11" s="35"/>
      <c r="BC11" s="201" t="s">
        <v>875</v>
      </c>
      <c r="BD11" s="35"/>
      <c r="BE11" s="227" t="s">
        <v>875</v>
      </c>
      <c r="BF11" s="37"/>
      <c r="BG11" s="227" t="s">
        <v>875</v>
      </c>
      <c r="BH11" s="37"/>
      <c r="BI11" s="227" t="s">
        <v>875</v>
      </c>
      <c r="BJ11" s="37"/>
      <c r="BK11" s="38"/>
      <c r="BL11" s="39"/>
      <c r="BM11" s="39"/>
      <c r="BN11" s="40"/>
      <c r="BO11" s="41"/>
      <c r="CM11" s="217"/>
    </row>
    <row r="12" spans="2:91" s="121" customFormat="1" ht="22.9" customHeight="1" x14ac:dyDescent="0.25">
      <c r="B12" s="120"/>
      <c r="C12" s="152" t="s">
        <v>787</v>
      </c>
      <c r="D12" s="120"/>
      <c r="E12" s="120"/>
      <c r="F12" s="120"/>
      <c r="G12" s="120"/>
      <c r="H12" s="120"/>
      <c r="I12" s="153"/>
      <c r="J12" s="154">
        <f>+SUBTOTAL(9,J13:J31)</f>
        <v>2276928</v>
      </c>
      <c r="K12" s="155" t="str">
        <f>IF(ISBLANK(I12),"",SUM(M12+O12+Q12+S12+U12+W12+Y12+AA12+AC12+AE12+AG12+AI12+AK12+BE12,AM12,AO12,AQ12,AS12,AU12,AW12,AY12,BA12,BC12))</f>
        <v/>
      </c>
      <c r="L12" s="156" t="str">
        <f t="shared" ref="L12:L31" si="0">IF(ISBLANK(I12),"",K12*I12)</f>
        <v/>
      </c>
      <c r="M12" s="157"/>
      <c r="N12" s="158" t="str">
        <f t="shared" ref="N12:N31" si="1">IF(ISBLANK($H12),"",M12*$I12)</f>
        <v/>
      </c>
      <c r="O12" s="157"/>
      <c r="P12" s="158" t="str">
        <f t="shared" ref="P12:P31" si="2">IF(ISBLANK($H12),"",O12*$I12)</f>
        <v/>
      </c>
      <c r="Q12" s="159"/>
      <c r="R12" s="158" t="str">
        <f t="shared" ref="R12:R31" si="3">IF(ISBLANK($H12),"",Q12*$I12)</f>
        <v/>
      </c>
      <c r="S12" s="160"/>
      <c r="T12" s="158" t="str">
        <f t="shared" ref="T12:T31" si="4">IF(ISBLANK($H12),"",S12*$I12)</f>
        <v/>
      </c>
      <c r="U12" s="160"/>
      <c r="V12" s="158" t="str">
        <f t="shared" ref="V12:V31" si="5">IF(ISBLANK($H12),"",U12*$I12)</f>
        <v/>
      </c>
      <c r="W12" s="160"/>
      <c r="X12" s="158" t="str">
        <f t="shared" ref="X12:X31" si="6">IF(ISBLANK($H12),"",W12*$I12)</f>
        <v/>
      </c>
      <c r="Y12" s="160"/>
      <c r="Z12" s="158" t="str">
        <f t="shared" ref="Z12:Z31" si="7">IF(ISBLANK($H12),"",Y12*$I12)</f>
        <v/>
      </c>
      <c r="AA12" s="160"/>
      <c r="AB12" s="158" t="str">
        <f t="shared" ref="AB12:AB31" si="8">IF(ISBLANK($H12),"",AA12*$I12)</f>
        <v/>
      </c>
      <c r="AC12" s="160"/>
      <c r="AD12" s="158" t="str">
        <f t="shared" ref="AD12:AD31" si="9">IF(ISBLANK($H12),"",AC12*$I12)</f>
        <v/>
      </c>
      <c r="AE12" s="160"/>
      <c r="AF12" s="158" t="str">
        <f t="shared" ref="AF12:AF31" si="10">IF(ISBLANK($H12),"",AE12*$I12)</f>
        <v/>
      </c>
      <c r="AG12" s="160"/>
      <c r="AH12" s="158" t="str">
        <f t="shared" ref="AH12:AH31" si="11">IF(ISBLANK($H12),"",AG12*$I12)</f>
        <v/>
      </c>
      <c r="AI12" s="160"/>
      <c r="AJ12" s="158" t="str">
        <f t="shared" ref="AJ12:AJ31" si="12">IF(ISBLANK($H12),"",AI12*$I12)</f>
        <v/>
      </c>
      <c r="AK12" s="160"/>
      <c r="AL12" s="158" t="str">
        <f t="shared" ref="AL12:AL31" si="13">IF(ISBLANK($H12),"",AK12*$I12)</f>
        <v/>
      </c>
      <c r="AM12" s="202" t="s">
        <v>875</v>
      </c>
      <c r="AN12" s="158" t="str">
        <f t="shared" ref="AN12:AN31" si="14">IF(ISBLANK($H12),"",AM12*$I12)</f>
        <v/>
      </c>
      <c r="AO12" s="160"/>
      <c r="AP12" s="158" t="str">
        <f t="shared" ref="AP12:AP31" si="15">IF(ISBLANK($H12),"",AO12*$I12)</f>
        <v/>
      </c>
      <c r="AQ12" s="202" t="s">
        <v>875</v>
      </c>
      <c r="AR12" s="158" t="str">
        <f t="shared" ref="AR12:AR31" si="16">IF(ISBLANK($H12),"",AQ12*$I12)</f>
        <v/>
      </c>
      <c r="AS12" s="160"/>
      <c r="AT12" s="158" t="str">
        <f t="shared" ref="AT12:AT31" si="17">IF(ISBLANK($H12),"",AS12*$I12)</f>
        <v/>
      </c>
      <c r="AU12" s="160"/>
      <c r="AV12" s="158" t="str">
        <f t="shared" ref="AV12:AV31" si="18">IF(ISBLANK($H12),"",AU12*$I12)</f>
        <v/>
      </c>
      <c r="AW12" s="160"/>
      <c r="AX12" s="158" t="str">
        <f t="shared" ref="AX12:AX31" si="19">IF(ISBLANK($H12),"",AW12*$I12)</f>
        <v/>
      </c>
      <c r="AY12" s="202" t="s">
        <v>875</v>
      </c>
      <c r="AZ12" s="158" t="str">
        <f t="shared" ref="AZ12:AZ31" si="20">IF(ISBLANK($H12),"",AY12*$I12)</f>
        <v/>
      </c>
      <c r="BA12" s="202" t="s">
        <v>875</v>
      </c>
      <c r="BB12" s="158" t="str">
        <f t="shared" ref="BB12:BB31" si="21">IF(ISBLANK($H12),"",BA12*$I12)</f>
        <v/>
      </c>
      <c r="BC12" s="202" t="s">
        <v>875</v>
      </c>
      <c r="BD12" s="158" t="str">
        <f t="shared" ref="BD12:BD31" si="22">IF(ISBLANK($H12),"",BC12*$I12)</f>
        <v/>
      </c>
      <c r="BE12" s="202" t="s">
        <v>875</v>
      </c>
      <c r="BF12" s="158" t="str">
        <f t="shared" ref="BF12:BF31" si="23">IF(ISBLANK($H12),"",BE12*$I12)</f>
        <v/>
      </c>
      <c r="BG12" s="202" t="s">
        <v>875</v>
      </c>
      <c r="BH12" s="158" t="str">
        <f t="shared" ref="BH12:BH31" si="24">IF(ISBLANK($H12),"",BG12*$I12)</f>
        <v/>
      </c>
      <c r="BI12" s="202" t="s">
        <v>875</v>
      </c>
      <c r="BJ12" s="158" t="str">
        <f t="shared" ref="BJ12:BJ31" si="25">IF(ISBLANK($H12),"",BI12*$I12)</f>
        <v/>
      </c>
      <c r="BK12" s="161" t="str">
        <f t="shared" ref="BK12:BK14" si="26">IF(ISBLANK(H12),"",SUM(M12+O12+Q12+S12+U12+W12+Y12+AA12+AC12+AE12+AG12+AI12+AK12+BE12+AM12,AO12,AQ12,AS12+AU12,AW12,AY12,BA12,BC12,BE12))</f>
        <v/>
      </c>
      <c r="BL12" s="162" t="str">
        <f t="shared" ref="BL12:BL14" si="27">IF(ISBLANK(H12),"",SUM(N12+P12+R12+T12+V12+X12+Z12+AB12+AD12+AF12+AH12+AJ12+AL12+BF12,BD12,BB12,AZ12,AX12,AV12,AT12,AR12,AP12,AN12))</f>
        <v/>
      </c>
      <c r="BM12" s="162"/>
      <c r="BN12" s="163" t="str">
        <f t="shared" ref="BN12:BN31" si="28">IF(ISBLANK(H12),"",H12-BK12)</f>
        <v/>
      </c>
      <c r="BO12" s="164" t="str">
        <f t="shared" ref="BO12:BO31" si="29">IF(ISBLANK(H12),"",J12-BL12)</f>
        <v/>
      </c>
      <c r="CL12" s="345" t="s">
        <v>1201</v>
      </c>
      <c r="CM12" s="191"/>
    </row>
    <row r="13" spans="2:91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+SUBTOTAL(9,J14:J31)</f>
        <v>2276928</v>
      </c>
      <c r="K13" s="155" t="str">
        <f>IF(ISBLANK(I13),"",SUM(M13+O13+Q13+S13+U13+W13+Y13+AA13+AC13+AE13+AG13+AI13+AK13+BE13,AM13,AO13,AQ13,AS13,AU13,AW13,AY13,BA13,BC13))</f>
        <v/>
      </c>
      <c r="L13" s="156" t="str">
        <f t="shared" si="0"/>
        <v/>
      </c>
      <c r="M13" s="157"/>
      <c r="N13" s="158" t="str">
        <f t="shared" si="1"/>
        <v/>
      </c>
      <c r="O13" s="157"/>
      <c r="P13" s="158" t="str">
        <f t="shared" si="2"/>
        <v/>
      </c>
      <c r="Q13" s="159"/>
      <c r="R13" s="158" t="str">
        <f t="shared" si="3"/>
        <v/>
      </c>
      <c r="S13" s="160"/>
      <c r="T13" s="158" t="str">
        <f t="shared" si="4"/>
        <v/>
      </c>
      <c r="U13" s="160"/>
      <c r="V13" s="158" t="str">
        <f t="shared" si="5"/>
        <v/>
      </c>
      <c r="W13" s="160"/>
      <c r="X13" s="158" t="str">
        <f t="shared" si="6"/>
        <v/>
      </c>
      <c r="Y13" s="160"/>
      <c r="Z13" s="158" t="str">
        <f t="shared" si="7"/>
        <v/>
      </c>
      <c r="AA13" s="160"/>
      <c r="AB13" s="158" t="str">
        <f t="shared" si="8"/>
        <v/>
      </c>
      <c r="AC13" s="160"/>
      <c r="AD13" s="158" t="str">
        <f t="shared" si="9"/>
        <v/>
      </c>
      <c r="AE13" s="160"/>
      <c r="AF13" s="158" t="str">
        <f t="shared" si="10"/>
        <v/>
      </c>
      <c r="AG13" s="160"/>
      <c r="AH13" s="158" t="str">
        <f t="shared" si="11"/>
        <v/>
      </c>
      <c r="AI13" s="160"/>
      <c r="AJ13" s="158" t="str">
        <f t="shared" si="12"/>
        <v/>
      </c>
      <c r="AK13" s="160"/>
      <c r="AL13" s="158" t="str">
        <f t="shared" si="13"/>
        <v/>
      </c>
      <c r="AM13" s="202" t="s">
        <v>875</v>
      </c>
      <c r="AN13" s="158" t="str">
        <f t="shared" si="14"/>
        <v/>
      </c>
      <c r="AO13" s="160"/>
      <c r="AP13" s="158" t="str">
        <f t="shared" si="15"/>
        <v/>
      </c>
      <c r="AQ13" s="202" t="s">
        <v>875</v>
      </c>
      <c r="AR13" s="158" t="str">
        <f t="shared" si="16"/>
        <v/>
      </c>
      <c r="AS13" s="160"/>
      <c r="AT13" s="158" t="str">
        <f t="shared" si="17"/>
        <v/>
      </c>
      <c r="AU13" s="160"/>
      <c r="AV13" s="158" t="str">
        <f t="shared" si="18"/>
        <v/>
      </c>
      <c r="AW13" s="160"/>
      <c r="AX13" s="158" t="str">
        <f t="shared" si="19"/>
        <v/>
      </c>
      <c r="AY13" s="202" t="s">
        <v>875</v>
      </c>
      <c r="AZ13" s="158" t="str">
        <f t="shared" si="20"/>
        <v/>
      </c>
      <c r="BA13" s="202" t="s">
        <v>875</v>
      </c>
      <c r="BB13" s="158" t="str">
        <f t="shared" si="21"/>
        <v/>
      </c>
      <c r="BC13" s="202" t="s">
        <v>875</v>
      </c>
      <c r="BD13" s="158" t="str">
        <f t="shared" si="22"/>
        <v/>
      </c>
      <c r="BE13" s="202" t="s">
        <v>875</v>
      </c>
      <c r="BF13" s="158" t="str">
        <f t="shared" si="23"/>
        <v/>
      </c>
      <c r="BG13" s="202" t="s">
        <v>875</v>
      </c>
      <c r="BH13" s="158" t="str">
        <f t="shared" si="24"/>
        <v/>
      </c>
      <c r="BI13" s="202" t="s">
        <v>875</v>
      </c>
      <c r="BJ13" s="158" t="str">
        <f t="shared" si="25"/>
        <v/>
      </c>
      <c r="BK13" s="161" t="str">
        <f t="shared" si="26"/>
        <v/>
      </c>
      <c r="BL13" s="162" t="str">
        <f t="shared" si="27"/>
        <v/>
      </c>
      <c r="BM13" s="162"/>
      <c r="BN13" s="163" t="str">
        <f t="shared" si="28"/>
        <v/>
      </c>
      <c r="BO13" s="164" t="str">
        <f t="shared" si="29"/>
        <v/>
      </c>
      <c r="BS13" s="197" t="s">
        <v>931</v>
      </c>
      <c r="BU13" s="197" t="s">
        <v>931</v>
      </c>
      <c r="BX13" s="197" t="s">
        <v>931</v>
      </c>
      <c r="CC13" s="197" t="s">
        <v>1081</v>
      </c>
      <c r="CD13" s="197" t="s">
        <v>1081</v>
      </c>
      <c r="CL13" s="345"/>
      <c r="CM13" s="218"/>
    </row>
    <row r="14" spans="2:91" s="170" customFormat="1" ht="22.9" customHeight="1" x14ac:dyDescent="0.2">
      <c r="B14" s="165"/>
      <c r="C14" s="165"/>
      <c r="D14" s="166" t="s">
        <v>4</v>
      </c>
      <c r="E14" s="171" t="s">
        <v>788</v>
      </c>
      <c r="F14" s="171" t="s">
        <v>789</v>
      </c>
      <c r="G14" s="165"/>
      <c r="H14" s="165"/>
      <c r="I14" s="168"/>
      <c r="J14" s="172">
        <f>+SUBTOTAL(9,J15:J31)</f>
        <v>2276928</v>
      </c>
      <c r="K14" s="155" t="str">
        <f>IF(ISBLANK(I14),"",SUM(M14+O14+Q14+S14+U14+W14+Y14+AA14+AC14+AE14+AG14+AI14+AK14+BE14,AM14,AO14,AQ14,AS14,AU14,AW14,AY14,BA14,BC14))</f>
        <v/>
      </c>
      <c r="L14" s="156" t="str">
        <f t="shared" si="0"/>
        <v/>
      </c>
      <c r="M14" s="157"/>
      <c r="N14" s="158" t="str">
        <f t="shared" si="1"/>
        <v/>
      </c>
      <c r="O14" s="157"/>
      <c r="P14" s="158" t="str">
        <f t="shared" si="2"/>
        <v/>
      </c>
      <c r="Q14" s="159"/>
      <c r="R14" s="158" t="str">
        <f t="shared" si="3"/>
        <v/>
      </c>
      <c r="S14" s="160"/>
      <c r="T14" s="158" t="str">
        <f t="shared" si="4"/>
        <v/>
      </c>
      <c r="U14" s="160"/>
      <c r="V14" s="158" t="str">
        <f t="shared" si="5"/>
        <v/>
      </c>
      <c r="W14" s="160"/>
      <c r="X14" s="158" t="str">
        <f t="shared" si="6"/>
        <v/>
      </c>
      <c r="Y14" s="160"/>
      <c r="Z14" s="158" t="str">
        <f t="shared" si="7"/>
        <v/>
      </c>
      <c r="AA14" s="160"/>
      <c r="AB14" s="158" t="str">
        <f t="shared" si="8"/>
        <v/>
      </c>
      <c r="AC14" s="160"/>
      <c r="AD14" s="158" t="str">
        <f t="shared" si="9"/>
        <v/>
      </c>
      <c r="AE14" s="160"/>
      <c r="AF14" s="158" t="str">
        <f t="shared" si="10"/>
        <v/>
      </c>
      <c r="AG14" s="160"/>
      <c r="AH14" s="158" t="str">
        <f t="shared" si="11"/>
        <v/>
      </c>
      <c r="AI14" s="160"/>
      <c r="AJ14" s="158" t="str">
        <f t="shared" si="12"/>
        <v/>
      </c>
      <c r="AK14" s="160"/>
      <c r="AL14" s="158" t="str">
        <f t="shared" si="13"/>
        <v/>
      </c>
      <c r="AM14" s="202" t="s">
        <v>875</v>
      </c>
      <c r="AN14" s="158" t="str">
        <f t="shared" si="14"/>
        <v/>
      </c>
      <c r="AO14" s="160"/>
      <c r="AP14" s="158" t="str">
        <f t="shared" si="15"/>
        <v/>
      </c>
      <c r="AQ14" s="202" t="s">
        <v>875</v>
      </c>
      <c r="AR14" s="158" t="str">
        <f t="shared" si="16"/>
        <v/>
      </c>
      <c r="AS14" s="160"/>
      <c r="AT14" s="158" t="str">
        <f t="shared" si="17"/>
        <v/>
      </c>
      <c r="AU14" s="160"/>
      <c r="AV14" s="158" t="str">
        <f t="shared" si="18"/>
        <v/>
      </c>
      <c r="AW14" s="160"/>
      <c r="AX14" s="158" t="str">
        <f t="shared" si="19"/>
        <v/>
      </c>
      <c r="AY14" s="202" t="s">
        <v>875</v>
      </c>
      <c r="AZ14" s="158" t="str">
        <f t="shared" si="20"/>
        <v/>
      </c>
      <c r="BA14" s="202" t="s">
        <v>875</v>
      </c>
      <c r="BB14" s="158" t="str">
        <f t="shared" si="21"/>
        <v/>
      </c>
      <c r="BC14" s="202" t="s">
        <v>875</v>
      </c>
      <c r="BD14" s="158" t="str">
        <f t="shared" si="22"/>
        <v/>
      </c>
      <c r="BE14" s="202" t="s">
        <v>875</v>
      </c>
      <c r="BF14" s="158" t="str">
        <f t="shared" si="23"/>
        <v/>
      </c>
      <c r="BG14" s="202" t="s">
        <v>875</v>
      </c>
      <c r="BH14" s="158" t="str">
        <f t="shared" si="24"/>
        <v/>
      </c>
      <c r="BI14" s="202" t="s">
        <v>875</v>
      </c>
      <c r="BJ14" s="158" t="str">
        <f t="shared" si="25"/>
        <v/>
      </c>
      <c r="BK14" s="161" t="str">
        <f t="shared" si="26"/>
        <v/>
      </c>
      <c r="BL14" s="162" t="str">
        <f t="shared" si="27"/>
        <v/>
      </c>
      <c r="BM14" s="162"/>
      <c r="BN14" s="163" t="str">
        <f t="shared" si="28"/>
        <v/>
      </c>
      <c r="BO14" s="164" t="str">
        <f t="shared" si="29"/>
        <v/>
      </c>
      <c r="BQ14" s="197" t="s">
        <v>931</v>
      </c>
      <c r="BR14" s="197" t="s">
        <v>931</v>
      </c>
      <c r="CH14" s="197" t="s">
        <v>1081</v>
      </c>
      <c r="CL14" s="345"/>
      <c r="CM14" s="218"/>
    </row>
    <row r="15" spans="2:91" s="121" customFormat="1" ht="16.5" customHeight="1" x14ac:dyDescent="0.2">
      <c r="B15" s="120"/>
      <c r="C15" s="56" t="s">
        <v>7</v>
      </c>
      <c r="D15" s="56" t="s">
        <v>96</v>
      </c>
      <c r="E15" s="57" t="s">
        <v>790</v>
      </c>
      <c r="F15" s="58" t="s">
        <v>791</v>
      </c>
      <c r="G15" s="59" t="s">
        <v>620</v>
      </c>
      <c r="H15" s="60">
        <v>1</v>
      </c>
      <c r="I15" s="61">
        <v>1132866</v>
      </c>
      <c r="J15" s="60">
        <v>1132866</v>
      </c>
      <c r="K15" s="62">
        <f>IF(ISBLANK(I15),"",SUM(M15+O15+Q15+S15+U15+W15+Y15+AA15+AC15+AE15+AG15+AI15+AK15+AM15+AO15+AQ15+AS15+AU15+AY15+BA15+BC15+AW15+BG15+BE15))</f>
        <v>0.8520000000000002</v>
      </c>
      <c r="L15" s="63">
        <f t="shared" si="0"/>
        <v>965201.83200000029</v>
      </c>
      <c r="M15" s="64"/>
      <c r="N15" s="65">
        <f t="shared" si="1"/>
        <v>0</v>
      </c>
      <c r="O15" s="64"/>
      <c r="P15" s="65">
        <f t="shared" si="2"/>
        <v>0</v>
      </c>
      <c r="Q15" s="66"/>
      <c r="R15" s="65">
        <f t="shared" si="3"/>
        <v>0</v>
      </c>
      <c r="S15" s="67">
        <v>0.05</v>
      </c>
      <c r="T15" s="65">
        <f t="shared" si="4"/>
        <v>56643.3</v>
      </c>
      <c r="U15" s="67">
        <v>0.01</v>
      </c>
      <c r="V15" s="65">
        <f t="shared" si="5"/>
        <v>11328.66</v>
      </c>
      <c r="W15" s="67">
        <v>1.2E-2</v>
      </c>
      <c r="X15" s="65">
        <f t="shared" si="6"/>
        <v>13594.392</v>
      </c>
      <c r="Y15" s="67"/>
      <c r="Z15" s="65">
        <f t="shared" si="7"/>
        <v>0</v>
      </c>
      <c r="AA15" s="67">
        <v>0.06</v>
      </c>
      <c r="AB15" s="65">
        <f t="shared" si="8"/>
        <v>67971.959999999992</v>
      </c>
      <c r="AC15" s="67">
        <v>0.02</v>
      </c>
      <c r="AD15" s="65">
        <f t="shared" si="9"/>
        <v>22657.32</v>
      </c>
      <c r="AE15" s="67">
        <v>0.02</v>
      </c>
      <c r="AF15" s="65">
        <f t="shared" si="10"/>
        <v>22657.32</v>
      </c>
      <c r="AG15" s="67">
        <v>0.05</v>
      </c>
      <c r="AH15" s="65">
        <f t="shared" si="11"/>
        <v>56643.3</v>
      </c>
      <c r="AI15" s="67"/>
      <c r="AJ15" s="65">
        <f t="shared" si="12"/>
        <v>0</v>
      </c>
      <c r="AK15" s="67">
        <v>0.03</v>
      </c>
      <c r="AL15" s="65">
        <f t="shared" si="13"/>
        <v>33985.979999999996</v>
      </c>
      <c r="AM15" s="67">
        <v>0.02</v>
      </c>
      <c r="AN15" s="65">
        <f t="shared" si="14"/>
        <v>22657.32</v>
      </c>
      <c r="AO15" s="67">
        <v>0.02</v>
      </c>
      <c r="AP15" s="65">
        <f t="shared" si="15"/>
        <v>22657.32</v>
      </c>
      <c r="AQ15" s="67">
        <v>0.06</v>
      </c>
      <c r="AR15" s="65">
        <f t="shared" si="16"/>
        <v>67971.959999999992</v>
      </c>
      <c r="AS15" s="67"/>
      <c r="AT15" s="65">
        <f t="shared" si="17"/>
        <v>0</v>
      </c>
      <c r="AU15" s="67">
        <v>0.1</v>
      </c>
      <c r="AV15" s="65">
        <f t="shared" si="18"/>
        <v>113286.6</v>
      </c>
      <c r="AW15" s="67">
        <v>0.1</v>
      </c>
      <c r="AX15" s="65">
        <f t="shared" si="19"/>
        <v>113286.6</v>
      </c>
      <c r="AY15" s="67">
        <v>0.03</v>
      </c>
      <c r="AZ15" s="65">
        <f t="shared" si="20"/>
        <v>33985.979999999996</v>
      </c>
      <c r="BA15" s="67">
        <v>0.03</v>
      </c>
      <c r="BB15" s="65">
        <f t="shared" si="21"/>
        <v>33985.979999999996</v>
      </c>
      <c r="BC15" s="67">
        <v>0.04</v>
      </c>
      <c r="BD15" s="65">
        <f t="shared" si="22"/>
        <v>45314.64</v>
      </c>
      <c r="BE15" s="67">
        <v>0.05</v>
      </c>
      <c r="BF15" s="65">
        <f t="shared" si="23"/>
        <v>56643.3</v>
      </c>
      <c r="BG15" s="67">
        <v>0.15</v>
      </c>
      <c r="BH15" s="65">
        <f t="shared" si="24"/>
        <v>169929.9</v>
      </c>
      <c r="BI15" s="67">
        <v>0.05</v>
      </c>
      <c r="BJ15" s="65">
        <f t="shared" si="25"/>
        <v>56643.3</v>
      </c>
      <c r="BK15" s="68">
        <f>IF(ISBLANK(H15),"",SUM(M15+O15+Q15+S15+U15+W15+Y15+AA15+AC15+AE15+AG15+AI15+AK15+AM15+AO15+AQ15+AS15+AU15+AW15+AY15+BA15+BC15+BE15+BG15+BI15))</f>
        <v>0.90200000000000025</v>
      </c>
      <c r="BL15" s="69">
        <f>IF(ISBLANK(H15),"",SUM(N15+P15+R15+T15+V15+X15+Z15+AB15+AD15+AF15+AH15+AJ15+AL15+BF15,BD15,BB15,AZ15,AX15,AV15,AT15,AR15,AP15,AN15+BH15+BJ15))</f>
        <v>1021845.1319999999</v>
      </c>
      <c r="BM15" s="70">
        <f>IFERROR(IF($J15=0,0,BL15/$J15),"")</f>
        <v>0.90199999999999991</v>
      </c>
      <c r="BN15" s="71">
        <f t="shared" si="28"/>
        <v>9.7999999999999754E-2</v>
      </c>
      <c r="BO15" s="72">
        <f t="shared" si="29"/>
        <v>111020.86800000013</v>
      </c>
      <c r="BP15" s="179">
        <f>IFERROR(IF($J15=0,0,BO15/$J15),"")</f>
        <v>9.8000000000000115E-2</v>
      </c>
      <c r="CM15" s="191"/>
    </row>
    <row r="16" spans="2:91" s="121" customFormat="1" ht="16.5" customHeight="1" x14ac:dyDescent="0.2">
      <c r="B16" s="120"/>
      <c r="C16" s="56" t="s">
        <v>8</v>
      </c>
      <c r="D16" s="56" t="s">
        <v>96</v>
      </c>
      <c r="E16" s="57" t="s">
        <v>792</v>
      </c>
      <c r="F16" s="58" t="s">
        <v>793</v>
      </c>
      <c r="G16" s="59" t="s">
        <v>620</v>
      </c>
      <c r="H16" s="60">
        <v>1</v>
      </c>
      <c r="I16" s="61">
        <v>13130</v>
      </c>
      <c r="J16" s="60">
        <v>13130</v>
      </c>
      <c r="K16" s="62">
        <f t="shared" ref="K16:K31" si="30">IF(ISBLANK(I16),"",SUM(M16+O16+Q16+S16+U16+W16+Y16+AA16+AC16+AE16+AG16+AI16+AK16+AM16+AO16+AQ16+AS16+AU16+AY16+BA16+BC16+AW16+BG16+BE16))</f>
        <v>0.7</v>
      </c>
      <c r="L16" s="63">
        <f t="shared" si="0"/>
        <v>9191</v>
      </c>
      <c r="M16" s="64"/>
      <c r="N16" s="65">
        <f t="shared" si="1"/>
        <v>0</v>
      </c>
      <c r="O16" s="64"/>
      <c r="P16" s="65">
        <f t="shared" si="2"/>
        <v>0</v>
      </c>
      <c r="Q16" s="66"/>
      <c r="R16" s="65">
        <f t="shared" si="3"/>
        <v>0</v>
      </c>
      <c r="S16" s="67"/>
      <c r="T16" s="65">
        <f t="shared" si="4"/>
        <v>0</v>
      </c>
      <c r="U16" s="67"/>
      <c r="V16" s="65">
        <f t="shared" si="5"/>
        <v>0</v>
      </c>
      <c r="W16" s="67"/>
      <c r="X16" s="65">
        <f t="shared" si="6"/>
        <v>0</v>
      </c>
      <c r="Y16" s="67"/>
      <c r="Z16" s="65">
        <f t="shared" si="7"/>
        <v>0</v>
      </c>
      <c r="AA16" s="67"/>
      <c r="AB16" s="65">
        <f t="shared" si="8"/>
        <v>0</v>
      </c>
      <c r="AC16" s="67"/>
      <c r="AD16" s="65">
        <f t="shared" si="9"/>
        <v>0</v>
      </c>
      <c r="AE16" s="67"/>
      <c r="AF16" s="65">
        <f t="shared" si="10"/>
        <v>0</v>
      </c>
      <c r="AG16" s="67"/>
      <c r="AH16" s="65">
        <f t="shared" si="11"/>
        <v>0</v>
      </c>
      <c r="AI16" s="67"/>
      <c r="AJ16" s="65">
        <f t="shared" si="12"/>
        <v>0</v>
      </c>
      <c r="AK16" s="67"/>
      <c r="AL16" s="65">
        <f t="shared" si="13"/>
        <v>0</v>
      </c>
      <c r="AM16" s="67"/>
      <c r="AN16" s="65">
        <f t="shared" si="14"/>
        <v>0</v>
      </c>
      <c r="AO16" s="67"/>
      <c r="AP16" s="65">
        <f t="shared" si="15"/>
        <v>0</v>
      </c>
      <c r="AQ16" s="67"/>
      <c r="AR16" s="65">
        <f t="shared" si="16"/>
        <v>0</v>
      </c>
      <c r="AS16" s="67"/>
      <c r="AT16" s="65">
        <f t="shared" si="17"/>
        <v>0</v>
      </c>
      <c r="AU16" s="67"/>
      <c r="AV16" s="65">
        <f t="shared" si="18"/>
        <v>0</v>
      </c>
      <c r="AW16" s="67">
        <v>0.5</v>
      </c>
      <c r="AX16" s="65">
        <f t="shared" si="19"/>
        <v>6565</v>
      </c>
      <c r="AY16" s="67"/>
      <c r="AZ16" s="65">
        <f t="shared" si="20"/>
        <v>0</v>
      </c>
      <c r="BA16" s="67"/>
      <c r="BB16" s="65">
        <f t="shared" si="21"/>
        <v>0</v>
      </c>
      <c r="BC16" s="67"/>
      <c r="BD16" s="65">
        <f t="shared" si="22"/>
        <v>0</v>
      </c>
      <c r="BE16" s="67">
        <v>0.2</v>
      </c>
      <c r="BF16" s="65">
        <f t="shared" si="23"/>
        <v>2626</v>
      </c>
      <c r="BG16" s="67"/>
      <c r="BH16" s="65">
        <f t="shared" si="24"/>
        <v>0</v>
      </c>
      <c r="BI16" s="67"/>
      <c r="BJ16" s="65">
        <f t="shared" si="25"/>
        <v>0</v>
      </c>
      <c r="BK16" s="68">
        <f t="shared" ref="BK16:BK31" si="31">IF(ISBLANK(H16),"",SUM(M16+O16+Q16+S16+U16+W16+Y16+AA16+AC16+AE16+AG16+AI16+AK16+AM16+AO16+AQ16+AS16+AU16+AW16+AY16+BA16+BC16+BE16+BG16+BI16))</f>
        <v>0.7</v>
      </c>
      <c r="BL16" s="69">
        <f t="shared" ref="BL16:BL31" si="32">IF(ISBLANK(H16),"",SUM(N16+P16+R16+T16+V16+X16+Z16+AB16+AD16+AF16+AH16+AJ16+AL16+BF16,BD16,BB16,AZ16,AX16,AV16,AT16,AR16,AP16,AN16+BH16+BJ16))</f>
        <v>9191</v>
      </c>
      <c r="BM16" s="70">
        <f t="shared" ref="BM16:BM31" si="33">IFERROR(IF($J16=0,0,BL16/$J16),"")</f>
        <v>0.7</v>
      </c>
      <c r="BN16" s="71">
        <f t="shared" si="28"/>
        <v>0.30000000000000004</v>
      </c>
      <c r="BO16" s="72">
        <f t="shared" si="29"/>
        <v>3939</v>
      </c>
      <c r="BP16" s="179">
        <f t="shared" ref="BP16:BP31" si="34">IFERROR(IF($J16=0,0,BO16/$J16),"")</f>
        <v>0.3</v>
      </c>
      <c r="CM16" s="191"/>
    </row>
    <row r="17" spans="2:91" s="121" customFormat="1" ht="16.5" customHeight="1" x14ac:dyDescent="0.2">
      <c r="B17" s="120"/>
      <c r="C17" s="56" t="s">
        <v>13</v>
      </c>
      <c r="D17" s="56" t="s">
        <v>96</v>
      </c>
      <c r="E17" s="57" t="s">
        <v>794</v>
      </c>
      <c r="F17" s="58" t="s">
        <v>795</v>
      </c>
      <c r="G17" s="59" t="s">
        <v>620</v>
      </c>
      <c r="H17" s="60">
        <v>1</v>
      </c>
      <c r="I17" s="61">
        <v>13130</v>
      </c>
      <c r="J17" s="60">
        <v>13130</v>
      </c>
      <c r="K17" s="62">
        <f t="shared" si="30"/>
        <v>0</v>
      </c>
      <c r="L17" s="63">
        <f t="shared" si="0"/>
        <v>0</v>
      </c>
      <c r="M17" s="64"/>
      <c r="N17" s="65">
        <f t="shared" si="1"/>
        <v>0</v>
      </c>
      <c r="O17" s="64"/>
      <c r="P17" s="65">
        <f t="shared" si="2"/>
        <v>0</v>
      </c>
      <c r="Q17" s="66"/>
      <c r="R17" s="65">
        <f t="shared" si="3"/>
        <v>0</v>
      </c>
      <c r="S17" s="67"/>
      <c r="T17" s="65">
        <f t="shared" si="4"/>
        <v>0</v>
      </c>
      <c r="U17" s="67"/>
      <c r="V17" s="65">
        <f t="shared" si="5"/>
        <v>0</v>
      </c>
      <c r="W17" s="67"/>
      <c r="X17" s="65">
        <f t="shared" si="6"/>
        <v>0</v>
      </c>
      <c r="Y17" s="67"/>
      <c r="Z17" s="65">
        <f t="shared" si="7"/>
        <v>0</v>
      </c>
      <c r="AA17" s="67"/>
      <c r="AB17" s="65">
        <f t="shared" si="8"/>
        <v>0</v>
      </c>
      <c r="AC17" s="67"/>
      <c r="AD17" s="65">
        <f t="shared" si="9"/>
        <v>0</v>
      </c>
      <c r="AE17" s="67"/>
      <c r="AF17" s="65">
        <f t="shared" si="10"/>
        <v>0</v>
      </c>
      <c r="AG17" s="67"/>
      <c r="AH17" s="65">
        <f t="shared" si="11"/>
        <v>0</v>
      </c>
      <c r="AI17" s="67"/>
      <c r="AJ17" s="65">
        <f t="shared" si="12"/>
        <v>0</v>
      </c>
      <c r="AK17" s="67"/>
      <c r="AL17" s="65">
        <f t="shared" si="13"/>
        <v>0</v>
      </c>
      <c r="AM17" s="67"/>
      <c r="AN17" s="65">
        <f t="shared" si="14"/>
        <v>0</v>
      </c>
      <c r="AO17" s="67"/>
      <c r="AP17" s="65">
        <f t="shared" si="15"/>
        <v>0</v>
      </c>
      <c r="AQ17" s="67"/>
      <c r="AR17" s="65">
        <f t="shared" si="16"/>
        <v>0</v>
      </c>
      <c r="AS17" s="67"/>
      <c r="AT17" s="65">
        <f t="shared" si="17"/>
        <v>0</v>
      </c>
      <c r="AU17" s="67"/>
      <c r="AV17" s="65">
        <f t="shared" si="18"/>
        <v>0</v>
      </c>
      <c r="AW17" s="67"/>
      <c r="AX17" s="65">
        <f t="shared" si="19"/>
        <v>0</v>
      </c>
      <c r="AY17" s="67"/>
      <c r="AZ17" s="65">
        <f t="shared" si="20"/>
        <v>0</v>
      </c>
      <c r="BA17" s="67"/>
      <c r="BB17" s="65">
        <f t="shared" si="21"/>
        <v>0</v>
      </c>
      <c r="BC17" s="67"/>
      <c r="BD17" s="65">
        <f t="shared" si="22"/>
        <v>0</v>
      </c>
      <c r="BE17" s="67"/>
      <c r="BF17" s="65">
        <f t="shared" si="23"/>
        <v>0</v>
      </c>
      <c r="BG17" s="67"/>
      <c r="BH17" s="65">
        <f t="shared" si="24"/>
        <v>0</v>
      </c>
      <c r="BI17" s="67"/>
      <c r="BJ17" s="65">
        <f t="shared" si="25"/>
        <v>0</v>
      </c>
      <c r="BK17" s="68">
        <f t="shared" si="31"/>
        <v>0</v>
      </c>
      <c r="BL17" s="69">
        <f t="shared" si="32"/>
        <v>0</v>
      </c>
      <c r="BM17" s="70">
        <f t="shared" si="33"/>
        <v>0</v>
      </c>
      <c r="BN17" s="71">
        <f t="shared" si="28"/>
        <v>1</v>
      </c>
      <c r="BO17" s="72">
        <f t="shared" si="29"/>
        <v>13130</v>
      </c>
      <c r="BP17" s="179">
        <f t="shared" si="34"/>
        <v>1</v>
      </c>
      <c r="CM17" s="191"/>
    </row>
    <row r="18" spans="2:91" s="121" customFormat="1" ht="16.5" customHeight="1" x14ac:dyDescent="0.2">
      <c r="B18" s="120"/>
      <c r="C18" s="56" t="s">
        <v>100</v>
      </c>
      <c r="D18" s="56" t="s">
        <v>96</v>
      </c>
      <c r="E18" s="57" t="s">
        <v>796</v>
      </c>
      <c r="F18" s="58" t="s">
        <v>797</v>
      </c>
      <c r="G18" s="59" t="s">
        <v>620</v>
      </c>
      <c r="H18" s="60">
        <v>1</v>
      </c>
      <c r="I18" s="61">
        <v>337004</v>
      </c>
      <c r="J18" s="60">
        <v>337004</v>
      </c>
      <c r="K18" s="62">
        <f t="shared" si="30"/>
        <v>0</v>
      </c>
      <c r="L18" s="63">
        <f t="shared" si="0"/>
        <v>0</v>
      </c>
      <c r="M18" s="64"/>
      <c r="N18" s="65">
        <f t="shared" si="1"/>
        <v>0</v>
      </c>
      <c r="O18" s="64"/>
      <c r="P18" s="65">
        <f t="shared" si="2"/>
        <v>0</v>
      </c>
      <c r="Q18" s="66"/>
      <c r="R18" s="65">
        <f t="shared" si="3"/>
        <v>0</v>
      </c>
      <c r="S18" s="67"/>
      <c r="T18" s="65">
        <f t="shared" si="4"/>
        <v>0</v>
      </c>
      <c r="U18" s="67"/>
      <c r="V18" s="65">
        <f t="shared" si="5"/>
        <v>0</v>
      </c>
      <c r="W18" s="67"/>
      <c r="X18" s="65">
        <f t="shared" si="6"/>
        <v>0</v>
      </c>
      <c r="Y18" s="67"/>
      <c r="Z18" s="65">
        <f t="shared" si="7"/>
        <v>0</v>
      </c>
      <c r="AA18" s="67"/>
      <c r="AB18" s="65">
        <f t="shared" si="8"/>
        <v>0</v>
      </c>
      <c r="AC18" s="67"/>
      <c r="AD18" s="65">
        <f t="shared" si="9"/>
        <v>0</v>
      </c>
      <c r="AE18" s="67"/>
      <c r="AF18" s="65">
        <f t="shared" si="10"/>
        <v>0</v>
      </c>
      <c r="AG18" s="67"/>
      <c r="AH18" s="65">
        <f t="shared" si="11"/>
        <v>0</v>
      </c>
      <c r="AI18" s="67"/>
      <c r="AJ18" s="65">
        <f t="shared" si="12"/>
        <v>0</v>
      </c>
      <c r="AK18" s="67"/>
      <c r="AL18" s="65">
        <f t="shared" si="13"/>
        <v>0</v>
      </c>
      <c r="AM18" s="67"/>
      <c r="AN18" s="65">
        <f t="shared" si="14"/>
        <v>0</v>
      </c>
      <c r="AO18" s="67"/>
      <c r="AP18" s="65">
        <f t="shared" si="15"/>
        <v>0</v>
      </c>
      <c r="AQ18" s="67"/>
      <c r="AR18" s="65">
        <f t="shared" si="16"/>
        <v>0</v>
      </c>
      <c r="AS18" s="67"/>
      <c r="AT18" s="65">
        <f t="shared" si="17"/>
        <v>0</v>
      </c>
      <c r="AU18" s="67"/>
      <c r="AV18" s="65">
        <f t="shared" si="18"/>
        <v>0</v>
      </c>
      <c r="AW18" s="67"/>
      <c r="AX18" s="65">
        <f t="shared" si="19"/>
        <v>0</v>
      </c>
      <c r="AY18" s="67"/>
      <c r="AZ18" s="65">
        <f t="shared" si="20"/>
        <v>0</v>
      </c>
      <c r="BA18" s="67"/>
      <c r="BB18" s="65">
        <f t="shared" si="21"/>
        <v>0</v>
      </c>
      <c r="BC18" s="67"/>
      <c r="BD18" s="65">
        <f t="shared" si="22"/>
        <v>0</v>
      </c>
      <c r="BE18" s="67"/>
      <c r="BF18" s="65">
        <f t="shared" si="23"/>
        <v>0</v>
      </c>
      <c r="BG18" s="67"/>
      <c r="BH18" s="65">
        <f t="shared" si="24"/>
        <v>0</v>
      </c>
      <c r="BI18" s="67"/>
      <c r="BJ18" s="65">
        <f t="shared" si="25"/>
        <v>0</v>
      </c>
      <c r="BK18" s="68">
        <f t="shared" si="31"/>
        <v>0</v>
      </c>
      <c r="BL18" s="69">
        <f t="shared" si="32"/>
        <v>0</v>
      </c>
      <c r="BM18" s="70">
        <f t="shared" si="33"/>
        <v>0</v>
      </c>
      <c r="BN18" s="71">
        <f t="shared" si="28"/>
        <v>1</v>
      </c>
      <c r="BO18" s="72">
        <f t="shared" si="29"/>
        <v>337004</v>
      </c>
      <c r="BP18" s="179">
        <f t="shared" si="34"/>
        <v>1</v>
      </c>
      <c r="CM18" s="191"/>
    </row>
    <row r="19" spans="2:91" s="121" customFormat="1" ht="16.5" customHeight="1" x14ac:dyDescent="0.2">
      <c r="B19" s="120"/>
      <c r="C19" s="56" t="s">
        <v>105</v>
      </c>
      <c r="D19" s="56" t="s">
        <v>96</v>
      </c>
      <c r="E19" s="57" t="s">
        <v>798</v>
      </c>
      <c r="F19" s="58" t="s">
        <v>799</v>
      </c>
      <c r="G19" s="59" t="s">
        <v>620</v>
      </c>
      <c r="H19" s="60">
        <v>1</v>
      </c>
      <c r="I19" s="61">
        <v>13130</v>
      </c>
      <c r="J19" s="60">
        <v>13130</v>
      </c>
      <c r="K19" s="62">
        <f t="shared" si="30"/>
        <v>1</v>
      </c>
      <c r="L19" s="63">
        <f t="shared" si="0"/>
        <v>13130</v>
      </c>
      <c r="M19" s="64"/>
      <c r="N19" s="65">
        <f t="shared" si="1"/>
        <v>0</v>
      </c>
      <c r="O19" s="64"/>
      <c r="P19" s="65">
        <f t="shared" si="2"/>
        <v>0</v>
      </c>
      <c r="Q19" s="66"/>
      <c r="R19" s="65">
        <f t="shared" si="3"/>
        <v>0</v>
      </c>
      <c r="S19" s="67">
        <v>0.5</v>
      </c>
      <c r="T19" s="65">
        <f t="shared" si="4"/>
        <v>6565</v>
      </c>
      <c r="U19" s="67"/>
      <c r="V19" s="65">
        <f t="shared" si="5"/>
        <v>0</v>
      </c>
      <c r="W19" s="67"/>
      <c r="X19" s="65">
        <f t="shared" si="6"/>
        <v>0</v>
      </c>
      <c r="Y19" s="67"/>
      <c r="Z19" s="65">
        <f t="shared" si="7"/>
        <v>0</v>
      </c>
      <c r="AA19" s="67"/>
      <c r="AB19" s="65">
        <f t="shared" si="8"/>
        <v>0</v>
      </c>
      <c r="AC19" s="67"/>
      <c r="AD19" s="65">
        <f t="shared" si="9"/>
        <v>0</v>
      </c>
      <c r="AE19" s="67"/>
      <c r="AF19" s="65">
        <f t="shared" si="10"/>
        <v>0</v>
      </c>
      <c r="AG19" s="67"/>
      <c r="AH19" s="65">
        <f t="shared" si="11"/>
        <v>0</v>
      </c>
      <c r="AI19" s="67"/>
      <c r="AJ19" s="65">
        <f t="shared" si="12"/>
        <v>0</v>
      </c>
      <c r="AK19" s="67"/>
      <c r="AL19" s="65">
        <f t="shared" si="13"/>
        <v>0</v>
      </c>
      <c r="AM19" s="67"/>
      <c r="AN19" s="65">
        <f t="shared" si="14"/>
        <v>0</v>
      </c>
      <c r="AO19" s="67"/>
      <c r="AP19" s="65">
        <f t="shared" si="15"/>
        <v>0</v>
      </c>
      <c r="AQ19" s="67"/>
      <c r="AR19" s="65">
        <f t="shared" si="16"/>
        <v>0</v>
      </c>
      <c r="AS19" s="67"/>
      <c r="AT19" s="65">
        <f t="shared" si="17"/>
        <v>0</v>
      </c>
      <c r="AU19" s="67"/>
      <c r="AV19" s="65">
        <f t="shared" si="18"/>
        <v>0</v>
      </c>
      <c r="AW19" s="67"/>
      <c r="AX19" s="65">
        <f t="shared" si="19"/>
        <v>0</v>
      </c>
      <c r="AY19" s="67"/>
      <c r="AZ19" s="65">
        <f t="shared" si="20"/>
        <v>0</v>
      </c>
      <c r="BA19" s="67"/>
      <c r="BB19" s="65">
        <f t="shared" si="21"/>
        <v>0</v>
      </c>
      <c r="BC19" s="67"/>
      <c r="BD19" s="65">
        <f t="shared" si="22"/>
        <v>0</v>
      </c>
      <c r="BE19" s="67"/>
      <c r="BF19" s="65">
        <f t="shared" si="23"/>
        <v>0</v>
      </c>
      <c r="BG19" s="67">
        <v>0.5</v>
      </c>
      <c r="BH19" s="65">
        <f t="shared" si="24"/>
        <v>6565</v>
      </c>
      <c r="BI19" s="67"/>
      <c r="BJ19" s="65">
        <f t="shared" si="25"/>
        <v>0</v>
      </c>
      <c r="BK19" s="68">
        <f t="shared" si="31"/>
        <v>1</v>
      </c>
      <c r="BL19" s="69">
        <f t="shared" si="32"/>
        <v>13130</v>
      </c>
      <c r="BM19" s="70">
        <f t="shared" si="33"/>
        <v>1</v>
      </c>
      <c r="BN19" s="71">
        <f t="shared" si="28"/>
        <v>0</v>
      </c>
      <c r="BO19" s="72">
        <f t="shared" si="29"/>
        <v>0</v>
      </c>
      <c r="BP19" s="179">
        <f t="shared" si="34"/>
        <v>0</v>
      </c>
      <c r="CM19" s="191"/>
    </row>
    <row r="20" spans="2:91" s="121" customFormat="1" ht="16.5" customHeight="1" x14ac:dyDescent="0.2">
      <c r="B20" s="120"/>
      <c r="C20" s="56" t="s">
        <v>109</v>
      </c>
      <c r="D20" s="56" t="s">
        <v>96</v>
      </c>
      <c r="E20" s="57" t="s">
        <v>800</v>
      </c>
      <c r="F20" s="58" t="s">
        <v>801</v>
      </c>
      <c r="G20" s="59" t="s">
        <v>620</v>
      </c>
      <c r="H20" s="60">
        <v>1</v>
      </c>
      <c r="I20" s="61">
        <v>21883</v>
      </c>
      <c r="J20" s="60">
        <v>21883</v>
      </c>
      <c r="K20" s="62">
        <f t="shared" si="30"/>
        <v>0</v>
      </c>
      <c r="L20" s="63">
        <f t="shared" si="0"/>
        <v>0</v>
      </c>
      <c r="M20" s="64"/>
      <c r="N20" s="65">
        <f t="shared" si="1"/>
        <v>0</v>
      </c>
      <c r="O20" s="64"/>
      <c r="P20" s="65">
        <f t="shared" si="2"/>
        <v>0</v>
      </c>
      <c r="Q20" s="66"/>
      <c r="R20" s="65">
        <f t="shared" si="3"/>
        <v>0</v>
      </c>
      <c r="S20" s="67"/>
      <c r="T20" s="65">
        <f t="shared" si="4"/>
        <v>0</v>
      </c>
      <c r="U20" s="67"/>
      <c r="V20" s="65">
        <f t="shared" si="5"/>
        <v>0</v>
      </c>
      <c r="W20" s="67"/>
      <c r="X20" s="65">
        <f t="shared" si="6"/>
        <v>0</v>
      </c>
      <c r="Y20" s="67"/>
      <c r="Z20" s="65">
        <f t="shared" si="7"/>
        <v>0</v>
      </c>
      <c r="AA20" s="67"/>
      <c r="AB20" s="65">
        <f t="shared" si="8"/>
        <v>0</v>
      </c>
      <c r="AC20" s="67"/>
      <c r="AD20" s="65">
        <f t="shared" si="9"/>
        <v>0</v>
      </c>
      <c r="AE20" s="67"/>
      <c r="AF20" s="65">
        <f t="shared" si="10"/>
        <v>0</v>
      </c>
      <c r="AG20" s="67"/>
      <c r="AH20" s="65">
        <f t="shared" si="11"/>
        <v>0</v>
      </c>
      <c r="AI20" s="67"/>
      <c r="AJ20" s="65">
        <f t="shared" si="12"/>
        <v>0</v>
      </c>
      <c r="AK20" s="67"/>
      <c r="AL20" s="65">
        <f t="shared" si="13"/>
        <v>0</v>
      </c>
      <c r="AM20" s="67"/>
      <c r="AN20" s="65">
        <f t="shared" si="14"/>
        <v>0</v>
      </c>
      <c r="AO20" s="67"/>
      <c r="AP20" s="65">
        <f t="shared" si="15"/>
        <v>0</v>
      </c>
      <c r="AQ20" s="67"/>
      <c r="AR20" s="65">
        <f t="shared" si="16"/>
        <v>0</v>
      </c>
      <c r="AS20" s="67"/>
      <c r="AT20" s="65">
        <f t="shared" si="17"/>
        <v>0</v>
      </c>
      <c r="AU20" s="67"/>
      <c r="AV20" s="65">
        <f t="shared" si="18"/>
        <v>0</v>
      </c>
      <c r="AW20" s="67"/>
      <c r="AX20" s="65">
        <f t="shared" si="19"/>
        <v>0</v>
      </c>
      <c r="AY20" s="67"/>
      <c r="AZ20" s="65">
        <f t="shared" si="20"/>
        <v>0</v>
      </c>
      <c r="BA20" s="67"/>
      <c r="BB20" s="65">
        <f t="shared" si="21"/>
        <v>0</v>
      </c>
      <c r="BC20" s="67"/>
      <c r="BD20" s="65">
        <f t="shared" si="22"/>
        <v>0</v>
      </c>
      <c r="BE20" s="67"/>
      <c r="BF20" s="65">
        <f t="shared" si="23"/>
        <v>0</v>
      </c>
      <c r="BG20" s="67"/>
      <c r="BH20" s="65">
        <f t="shared" si="24"/>
        <v>0</v>
      </c>
      <c r="BI20" s="67"/>
      <c r="BJ20" s="65">
        <f t="shared" si="25"/>
        <v>0</v>
      </c>
      <c r="BK20" s="68">
        <f t="shared" si="31"/>
        <v>0</v>
      </c>
      <c r="BL20" s="69">
        <f t="shared" si="32"/>
        <v>0</v>
      </c>
      <c r="BM20" s="70">
        <f t="shared" si="33"/>
        <v>0</v>
      </c>
      <c r="BN20" s="71">
        <f t="shared" si="28"/>
        <v>1</v>
      </c>
      <c r="BO20" s="72">
        <f t="shared" si="29"/>
        <v>21883</v>
      </c>
      <c r="BP20" s="179">
        <f t="shared" si="34"/>
        <v>1</v>
      </c>
      <c r="CM20" s="191"/>
    </row>
    <row r="21" spans="2:91" s="121" customFormat="1" ht="16.5" customHeight="1" x14ac:dyDescent="0.2">
      <c r="B21" s="120"/>
      <c r="C21" s="56" t="s">
        <v>112</v>
      </c>
      <c r="D21" s="56" t="s">
        <v>96</v>
      </c>
      <c r="E21" s="57" t="s">
        <v>802</v>
      </c>
      <c r="F21" s="58" t="s">
        <v>803</v>
      </c>
      <c r="G21" s="59" t="s">
        <v>620</v>
      </c>
      <c r="H21" s="60">
        <v>1</v>
      </c>
      <c r="I21" s="61">
        <v>13130</v>
      </c>
      <c r="J21" s="60">
        <v>13130</v>
      </c>
      <c r="K21" s="62">
        <f t="shared" si="30"/>
        <v>0</v>
      </c>
      <c r="L21" s="63">
        <f t="shared" si="0"/>
        <v>0</v>
      </c>
      <c r="M21" s="64"/>
      <c r="N21" s="65">
        <f t="shared" si="1"/>
        <v>0</v>
      </c>
      <c r="O21" s="64"/>
      <c r="P21" s="65">
        <f t="shared" si="2"/>
        <v>0</v>
      </c>
      <c r="Q21" s="66"/>
      <c r="R21" s="65">
        <f t="shared" si="3"/>
        <v>0</v>
      </c>
      <c r="S21" s="67"/>
      <c r="T21" s="65">
        <f t="shared" si="4"/>
        <v>0</v>
      </c>
      <c r="U21" s="67"/>
      <c r="V21" s="65">
        <f t="shared" si="5"/>
        <v>0</v>
      </c>
      <c r="W21" s="67"/>
      <c r="X21" s="65">
        <f t="shared" si="6"/>
        <v>0</v>
      </c>
      <c r="Y21" s="67"/>
      <c r="Z21" s="65">
        <f t="shared" si="7"/>
        <v>0</v>
      </c>
      <c r="AA21" s="67"/>
      <c r="AB21" s="65">
        <f t="shared" si="8"/>
        <v>0</v>
      </c>
      <c r="AC21" s="67"/>
      <c r="AD21" s="65">
        <f t="shared" si="9"/>
        <v>0</v>
      </c>
      <c r="AE21" s="67"/>
      <c r="AF21" s="65">
        <f t="shared" si="10"/>
        <v>0</v>
      </c>
      <c r="AG21" s="67"/>
      <c r="AH21" s="65">
        <f t="shared" si="11"/>
        <v>0</v>
      </c>
      <c r="AI21" s="67"/>
      <c r="AJ21" s="65">
        <f t="shared" si="12"/>
        <v>0</v>
      </c>
      <c r="AK21" s="67"/>
      <c r="AL21" s="65">
        <f t="shared" si="13"/>
        <v>0</v>
      </c>
      <c r="AM21" s="67"/>
      <c r="AN21" s="65">
        <f t="shared" si="14"/>
        <v>0</v>
      </c>
      <c r="AO21" s="67"/>
      <c r="AP21" s="65">
        <f t="shared" si="15"/>
        <v>0</v>
      </c>
      <c r="AQ21" s="67"/>
      <c r="AR21" s="65">
        <f t="shared" si="16"/>
        <v>0</v>
      </c>
      <c r="AS21" s="67"/>
      <c r="AT21" s="65">
        <f t="shared" si="17"/>
        <v>0</v>
      </c>
      <c r="AU21" s="67"/>
      <c r="AV21" s="65">
        <f t="shared" si="18"/>
        <v>0</v>
      </c>
      <c r="AW21" s="67"/>
      <c r="AX21" s="65">
        <f t="shared" si="19"/>
        <v>0</v>
      </c>
      <c r="AY21" s="67"/>
      <c r="AZ21" s="65">
        <f t="shared" si="20"/>
        <v>0</v>
      </c>
      <c r="BA21" s="67"/>
      <c r="BB21" s="65">
        <f t="shared" si="21"/>
        <v>0</v>
      </c>
      <c r="BC21" s="67"/>
      <c r="BD21" s="65">
        <f t="shared" si="22"/>
        <v>0</v>
      </c>
      <c r="BE21" s="67"/>
      <c r="BF21" s="65">
        <f t="shared" si="23"/>
        <v>0</v>
      </c>
      <c r="BG21" s="67"/>
      <c r="BH21" s="65">
        <f t="shared" si="24"/>
        <v>0</v>
      </c>
      <c r="BI21" s="67"/>
      <c r="BJ21" s="65">
        <f t="shared" si="25"/>
        <v>0</v>
      </c>
      <c r="BK21" s="68">
        <f t="shared" si="31"/>
        <v>0</v>
      </c>
      <c r="BL21" s="69">
        <f t="shared" si="32"/>
        <v>0</v>
      </c>
      <c r="BM21" s="70">
        <f t="shared" si="33"/>
        <v>0</v>
      </c>
      <c r="BN21" s="71">
        <f t="shared" si="28"/>
        <v>1</v>
      </c>
      <c r="BO21" s="72">
        <f t="shared" si="29"/>
        <v>13130</v>
      </c>
      <c r="BP21" s="179">
        <f t="shared" si="34"/>
        <v>1</v>
      </c>
      <c r="CM21" s="191"/>
    </row>
    <row r="22" spans="2:91" s="121" customFormat="1" ht="16.5" customHeight="1" x14ac:dyDescent="0.2">
      <c r="B22" s="120"/>
      <c r="C22" s="56" t="s">
        <v>115</v>
      </c>
      <c r="D22" s="56" t="s">
        <v>96</v>
      </c>
      <c r="E22" s="57" t="s">
        <v>804</v>
      </c>
      <c r="F22" s="58" t="s">
        <v>805</v>
      </c>
      <c r="G22" s="59" t="s">
        <v>620</v>
      </c>
      <c r="H22" s="60">
        <v>1</v>
      </c>
      <c r="I22" s="61">
        <v>266977</v>
      </c>
      <c r="J22" s="60">
        <v>266977</v>
      </c>
      <c r="K22" s="62">
        <f t="shared" si="30"/>
        <v>0</v>
      </c>
      <c r="L22" s="63">
        <f t="shared" si="0"/>
        <v>0</v>
      </c>
      <c r="M22" s="64"/>
      <c r="N22" s="65">
        <f t="shared" si="1"/>
        <v>0</v>
      </c>
      <c r="O22" s="64"/>
      <c r="P22" s="65">
        <f t="shared" si="2"/>
        <v>0</v>
      </c>
      <c r="Q22" s="66"/>
      <c r="R22" s="65">
        <f t="shared" si="3"/>
        <v>0</v>
      </c>
      <c r="S22" s="67"/>
      <c r="T22" s="65">
        <f t="shared" si="4"/>
        <v>0</v>
      </c>
      <c r="U22" s="67"/>
      <c r="V22" s="65">
        <f t="shared" si="5"/>
        <v>0</v>
      </c>
      <c r="W22" s="67"/>
      <c r="X22" s="65">
        <f t="shared" si="6"/>
        <v>0</v>
      </c>
      <c r="Y22" s="67"/>
      <c r="Z22" s="65">
        <f t="shared" si="7"/>
        <v>0</v>
      </c>
      <c r="AA22" s="67"/>
      <c r="AB22" s="65">
        <f t="shared" si="8"/>
        <v>0</v>
      </c>
      <c r="AC22" s="67"/>
      <c r="AD22" s="65">
        <f t="shared" si="9"/>
        <v>0</v>
      </c>
      <c r="AE22" s="67"/>
      <c r="AF22" s="65">
        <f t="shared" si="10"/>
        <v>0</v>
      </c>
      <c r="AG22" s="67"/>
      <c r="AH22" s="65">
        <f t="shared" si="11"/>
        <v>0</v>
      </c>
      <c r="AI22" s="67"/>
      <c r="AJ22" s="65">
        <f t="shared" si="12"/>
        <v>0</v>
      </c>
      <c r="AK22" s="67"/>
      <c r="AL22" s="65">
        <f t="shared" si="13"/>
        <v>0</v>
      </c>
      <c r="AM22" s="67"/>
      <c r="AN22" s="65">
        <f t="shared" si="14"/>
        <v>0</v>
      </c>
      <c r="AO22" s="67"/>
      <c r="AP22" s="65">
        <f t="shared" si="15"/>
        <v>0</v>
      </c>
      <c r="AQ22" s="67"/>
      <c r="AR22" s="65">
        <f t="shared" si="16"/>
        <v>0</v>
      </c>
      <c r="AS22" s="67"/>
      <c r="AT22" s="65">
        <f t="shared" si="17"/>
        <v>0</v>
      </c>
      <c r="AU22" s="67"/>
      <c r="AV22" s="65">
        <f t="shared" si="18"/>
        <v>0</v>
      </c>
      <c r="AW22" s="67"/>
      <c r="AX22" s="65">
        <f t="shared" si="19"/>
        <v>0</v>
      </c>
      <c r="AY22" s="67"/>
      <c r="AZ22" s="65">
        <f t="shared" si="20"/>
        <v>0</v>
      </c>
      <c r="BA22" s="67"/>
      <c r="BB22" s="65">
        <f t="shared" si="21"/>
        <v>0</v>
      </c>
      <c r="BC22" s="67"/>
      <c r="BD22" s="65">
        <f t="shared" si="22"/>
        <v>0</v>
      </c>
      <c r="BE22" s="67"/>
      <c r="BF22" s="65">
        <f t="shared" si="23"/>
        <v>0</v>
      </c>
      <c r="BG22" s="67"/>
      <c r="BH22" s="65">
        <f t="shared" si="24"/>
        <v>0</v>
      </c>
      <c r="BI22" s="67"/>
      <c r="BJ22" s="65">
        <f t="shared" si="25"/>
        <v>0</v>
      </c>
      <c r="BK22" s="68">
        <f t="shared" si="31"/>
        <v>0</v>
      </c>
      <c r="BL22" s="69">
        <f t="shared" si="32"/>
        <v>0</v>
      </c>
      <c r="BM22" s="70">
        <f t="shared" si="33"/>
        <v>0</v>
      </c>
      <c r="BN22" s="71">
        <f t="shared" si="28"/>
        <v>1</v>
      </c>
      <c r="BO22" s="72">
        <f t="shared" si="29"/>
        <v>266977</v>
      </c>
      <c r="BP22" s="179">
        <f t="shared" si="34"/>
        <v>1</v>
      </c>
      <c r="CM22" s="191"/>
    </row>
    <row r="23" spans="2:91" s="121" customFormat="1" ht="16.5" customHeight="1" x14ac:dyDescent="0.2">
      <c r="B23" s="120"/>
      <c r="C23" s="56" t="s">
        <v>118</v>
      </c>
      <c r="D23" s="56" t="s">
        <v>96</v>
      </c>
      <c r="E23" s="57" t="s">
        <v>806</v>
      </c>
      <c r="F23" s="58" t="s">
        <v>807</v>
      </c>
      <c r="G23" s="59" t="s">
        <v>620</v>
      </c>
      <c r="H23" s="60">
        <v>1</v>
      </c>
      <c r="I23" s="61">
        <v>26260</v>
      </c>
      <c r="J23" s="60">
        <v>26260</v>
      </c>
      <c r="K23" s="62">
        <f t="shared" si="30"/>
        <v>0.5</v>
      </c>
      <c r="L23" s="63">
        <f t="shared" si="0"/>
        <v>13130</v>
      </c>
      <c r="M23" s="64"/>
      <c r="N23" s="65">
        <f t="shared" si="1"/>
        <v>0</v>
      </c>
      <c r="O23" s="64"/>
      <c r="P23" s="65">
        <f t="shared" si="2"/>
        <v>0</v>
      </c>
      <c r="Q23" s="66"/>
      <c r="R23" s="65">
        <f t="shared" si="3"/>
        <v>0</v>
      </c>
      <c r="S23" s="67"/>
      <c r="T23" s="65">
        <f t="shared" si="4"/>
        <v>0</v>
      </c>
      <c r="U23" s="67"/>
      <c r="V23" s="65">
        <f t="shared" si="5"/>
        <v>0</v>
      </c>
      <c r="W23" s="67"/>
      <c r="X23" s="65">
        <f t="shared" si="6"/>
        <v>0</v>
      </c>
      <c r="Y23" s="67"/>
      <c r="Z23" s="65">
        <f t="shared" si="7"/>
        <v>0</v>
      </c>
      <c r="AA23" s="67"/>
      <c r="AB23" s="65">
        <f t="shared" si="8"/>
        <v>0</v>
      </c>
      <c r="AC23" s="67"/>
      <c r="AD23" s="65">
        <f t="shared" si="9"/>
        <v>0</v>
      </c>
      <c r="AE23" s="67"/>
      <c r="AF23" s="65">
        <f t="shared" si="10"/>
        <v>0</v>
      </c>
      <c r="AG23" s="67"/>
      <c r="AH23" s="65">
        <f t="shared" si="11"/>
        <v>0</v>
      </c>
      <c r="AI23" s="67"/>
      <c r="AJ23" s="65">
        <f t="shared" si="12"/>
        <v>0</v>
      </c>
      <c r="AK23" s="67"/>
      <c r="AL23" s="65">
        <f t="shared" si="13"/>
        <v>0</v>
      </c>
      <c r="AM23" s="67"/>
      <c r="AN23" s="65">
        <f t="shared" si="14"/>
        <v>0</v>
      </c>
      <c r="AO23" s="67"/>
      <c r="AP23" s="65">
        <f t="shared" si="15"/>
        <v>0</v>
      </c>
      <c r="AQ23" s="67"/>
      <c r="AR23" s="65">
        <f t="shared" si="16"/>
        <v>0</v>
      </c>
      <c r="AS23" s="67"/>
      <c r="AT23" s="65">
        <f t="shared" si="17"/>
        <v>0</v>
      </c>
      <c r="AU23" s="67"/>
      <c r="AV23" s="65">
        <f t="shared" si="18"/>
        <v>0</v>
      </c>
      <c r="AW23" s="67"/>
      <c r="AX23" s="65">
        <f t="shared" si="19"/>
        <v>0</v>
      </c>
      <c r="AY23" s="67"/>
      <c r="AZ23" s="65">
        <f t="shared" si="20"/>
        <v>0</v>
      </c>
      <c r="BA23" s="67"/>
      <c r="BB23" s="65">
        <f t="shared" si="21"/>
        <v>0</v>
      </c>
      <c r="BC23" s="67"/>
      <c r="BD23" s="65">
        <f t="shared" si="22"/>
        <v>0</v>
      </c>
      <c r="BE23" s="67"/>
      <c r="BF23" s="65">
        <f t="shared" si="23"/>
        <v>0</v>
      </c>
      <c r="BG23" s="67">
        <v>0.5</v>
      </c>
      <c r="BH23" s="65">
        <f t="shared" si="24"/>
        <v>13130</v>
      </c>
      <c r="BI23" s="67">
        <v>0.2</v>
      </c>
      <c r="BJ23" s="65">
        <f t="shared" si="25"/>
        <v>5252</v>
      </c>
      <c r="BK23" s="68">
        <f t="shared" si="31"/>
        <v>0.7</v>
      </c>
      <c r="BL23" s="69">
        <f t="shared" si="32"/>
        <v>18382</v>
      </c>
      <c r="BM23" s="70">
        <f t="shared" si="33"/>
        <v>0.7</v>
      </c>
      <c r="BN23" s="71">
        <f t="shared" si="28"/>
        <v>0.30000000000000004</v>
      </c>
      <c r="BO23" s="72">
        <f t="shared" si="29"/>
        <v>7878</v>
      </c>
      <c r="BP23" s="179">
        <f t="shared" si="34"/>
        <v>0.3</v>
      </c>
      <c r="CL23" s="186" t="s">
        <v>1153</v>
      </c>
      <c r="CM23" s="191" t="s">
        <v>1205</v>
      </c>
    </row>
    <row r="24" spans="2:91" s="121" customFormat="1" ht="33.75" x14ac:dyDescent="0.2">
      <c r="B24" s="120"/>
      <c r="C24" s="56" t="s">
        <v>121</v>
      </c>
      <c r="D24" s="56" t="s">
        <v>96</v>
      </c>
      <c r="E24" s="57" t="s">
        <v>808</v>
      </c>
      <c r="F24" s="58" t="s">
        <v>809</v>
      </c>
      <c r="G24" s="59" t="s">
        <v>620</v>
      </c>
      <c r="H24" s="60">
        <v>1</v>
      </c>
      <c r="I24" s="61">
        <v>119045</v>
      </c>
      <c r="J24" s="60">
        <v>119045</v>
      </c>
      <c r="K24" s="62">
        <f t="shared" si="30"/>
        <v>0.83000000000000007</v>
      </c>
      <c r="L24" s="63">
        <f t="shared" si="0"/>
        <v>98807.35</v>
      </c>
      <c r="M24" s="64"/>
      <c r="N24" s="65">
        <f t="shared" si="1"/>
        <v>0</v>
      </c>
      <c r="O24" s="64"/>
      <c r="P24" s="65">
        <f t="shared" si="2"/>
        <v>0</v>
      </c>
      <c r="Q24" s="66"/>
      <c r="R24" s="65">
        <f t="shared" si="3"/>
        <v>0</v>
      </c>
      <c r="S24" s="67"/>
      <c r="T24" s="65">
        <f t="shared" si="4"/>
        <v>0</v>
      </c>
      <c r="U24" s="67"/>
      <c r="V24" s="65">
        <f t="shared" si="5"/>
        <v>0</v>
      </c>
      <c r="W24" s="67"/>
      <c r="X24" s="65">
        <f t="shared" si="6"/>
        <v>0</v>
      </c>
      <c r="Y24" s="67"/>
      <c r="Z24" s="65">
        <f t="shared" si="7"/>
        <v>0</v>
      </c>
      <c r="AA24" s="67"/>
      <c r="AB24" s="65">
        <f t="shared" si="8"/>
        <v>0</v>
      </c>
      <c r="AC24" s="67"/>
      <c r="AD24" s="65">
        <f t="shared" si="9"/>
        <v>0</v>
      </c>
      <c r="AE24" s="67"/>
      <c r="AF24" s="65">
        <f t="shared" si="10"/>
        <v>0</v>
      </c>
      <c r="AG24" s="67"/>
      <c r="AH24" s="65">
        <f t="shared" si="11"/>
        <v>0</v>
      </c>
      <c r="AI24" s="67"/>
      <c r="AJ24" s="65">
        <f t="shared" si="12"/>
        <v>0</v>
      </c>
      <c r="AK24" s="67">
        <v>0.2</v>
      </c>
      <c r="AL24" s="65">
        <f t="shared" si="13"/>
        <v>23809</v>
      </c>
      <c r="AM24" s="67">
        <v>0.02</v>
      </c>
      <c r="AN24" s="65">
        <f t="shared" si="14"/>
        <v>2380.9</v>
      </c>
      <c r="AO24" s="67">
        <v>0.02</v>
      </c>
      <c r="AP24" s="65">
        <f t="shared" si="15"/>
        <v>2380.9</v>
      </c>
      <c r="AQ24" s="67">
        <v>0.06</v>
      </c>
      <c r="AR24" s="65">
        <f t="shared" si="16"/>
        <v>7142.7</v>
      </c>
      <c r="AS24" s="67"/>
      <c r="AT24" s="65">
        <f t="shared" si="17"/>
        <v>0</v>
      </c>
      <c r="AU24" s="67">
        <v>0.1</v>
      </c>
      <c r="AV24" s="65">
        <f t="shared" si="18"/>
        <v>11904.5</v>
      </c>
      <c r="AW24" s="67"/>
      <c r="AX24" s="65">
        <f t="shared" si="19"/>
        <v>0</v>
      </c>
      <c r="AY24" s="67">
        <v>0.03</v>
      </c>
      <c r="AZ24" s="65">
        <f t="shared" si="20"/>
        <v>3571.35</v>
      </c>
      <c r="BA24" s="67"/>
      <c r="BB24" s="65">
        <f t="shared" si="21"/>
        <v>0</v>
      </c>
      <c r="BC24" s="67"/>
      <c r="BD24" s="65">
        <f t="shared" si="22"/>
        <v>0</v>
      </c>
      <c r="BE24" s="67">
        <v>0.2</v>
      </c>
      <c r="BF24" s="65">
        <f t="shared" si="23"/>
        <v>23809</v>
      </c>
      <c r="BG24" s="67">
        <v>0.2</v>
      </c>
      <c r="BH24" s="65">
        <f t="shared" si="24"/>
        <v>23809</v>
      </c>
      <c r="BI24" s="67">
        <v>0.05</v>
      </c>
      <c r="BJ24" s="65">
        <f t="shared" si="25"/>
        <v>5952.25</v>
      </c>
      <c r="BK24" s="68">
        <f t="shared" si="31"/>
        <v>0.88000000000000012</v>
      </c>
      <c r="BL24" s="69">
        <f t="shared" si="32"/>
        <v>104759.6</v>
      </c>
      <c r="BM24" s="70">
        <f t="shared" si="33"/>
        <v>0.88</v>
      </c>
      <c r="BN24" s="71">
        <f t="shared" si="28"/>
        <v>0.11999999999999988</v>
      </c>
      <c r="BO24" s="72">
        <f t="shared" si="29"/>
        <v>14285.399999999994</v>
      </c>
      <c r="BP24" s="179">
        <f t="shared" si="34"/>
        <v>0.11999999999999995</v>
      </c>
      <c r="BT24" s="190" t="s">
        <v>1019</v>
      </c>
      <c r="CE24" s="186" t="s">
        <v>1152</v>
      </c>
      <c r="CF24" s="121" t="s">
        <v>1155</v>
      </c>
      <c r="CM24" s="191"/>
    </row>
    <row r="25" spans="2:91" s="121" customFormat="1" ht="16.5" customHeight="1" x14ac:dyDescent="0.2">
      <c r="B25" s="120"/>
      <c r="C25" s="56" t="s">
        <v>124</v>
      </c>
      <c r="D25" s="56" t="s">
        <v>96</v>
      </c>
      <c r="E25" s="57" t="s">
        <v>810</v>
      </c>
      <c r="F25" s="58" t="s">
        <v>811</v>
      </c>
      <c r="G25" s="59" t="s">
        <v>620</v>
      </c>
      <c r="H25" s="60">
        <v>1</v>
      </c>
      <c r="I25" s="61">
        <v>59523</v>
      </c>
      <c r="J25" s="60">
        <v>59523</v>
      </c>
      <c r="K25" s="62">
        <f t="shared" si="30"/>
        <v>0.89999999999999991</v>
      </c>
      <c r="L25" s="63">
        <f t="shared" si="0"/>
        <v>53570.7</v>
      </c>
      <c r="M25" s="64"/>
      <c r="N25" s="65">
        <f t="shared" si="1"/>
        <v>0</v>
      </c>
      <c r="O25" s="64"/>
      <c r="P25" s="65">
        <f t="shared" si="2"/>
        <v>0</v>
      </c>
      <c r="Q25" s="66"/>
      <c r="R25" s="65">
        <f t="shared" si="3"/>
        <v>0</v>
      </c>
      <c r="S25" s="67">
        <v>0.01</v>
      </c>
      <c r="T25" s="65">
        <f t="shared" si="4"/>
        <v>595.23</v>
      </c>
      <c r="U25" s="67">
        <v>0.01</v>
      </c>
      <c r="V25" s="65">
        <f t="shared" si="5"/>
        <v>595.23</v>
      </c>
      <c r="W25" s="67"/>
      <c r="X25" s="65">
        <f t="shared" si="6"/>
        <v>0</v>
      </c>
      <c r="Y25" s="67"/>
      <c r="Z25" s="65">
        <f t="shared" si="7"/>
        <v>0</v>
      </c>
      <c r="AA25" s="67">
        <v>0.06</v>
      </c>
      <c r="AB25" s="65">
        <f t="shared" si="8"/>
        <v>3571.3799999999997</v>
      </c>
      <c r="AC25" s="67">
        <v>0.02</v>
      </c>
      <c r="AD25" s="65">
        <f t="shared" si="9"/>
        <v>1190.46</v>
      </c>
      <c r="AE25" s="67">
        <v>0.02</v>
      </c>
      <c r="AF25" s="65">
        <f t="shared" si="10"/>
        <v>1190.46</v>
      </c>
      <c r="AG25" s="67">
        <v>0.05</v>
      </c>
      <c r="AH25" s="65">
        <f t="shared" si="11"/>
        <v>2976.15</v>
      </c>
      <c r="AI25" s="67"/>
      <c r="AJ25" s="65">
        <f t="shared" si="12"/>
        <v>0</v>
      </c>
      <c r="AK25" s="67">
        <v>0.03</v>
      </c>
      <c r="AL25" s="65">
        <f t="shared" si="13"/>
        <v>1785.6899999999998</v>
      </c>
      <c r="AM25" s="67">
        <v>0.02</v>
      </c>
      <c r="AN25" s="65">
        <f t="shared" si="14"/>
        <v>1190.46</v>
      </c>
      <c r="AO25" s="67">
        <v>0.02</v>
      </c>
      <c r="AP25" s="65">
        <f t="shared" si="15"/>
        <v>1190.46</v>
      </c>
      <c r="AQ25" s="67">
        <v>0.06</v>
      </c>
      <c r="AR25" s="65">
        <f t="shared" si="16"/>
        <v>3571.3799999999997</v>
      </c>
      <c r="AS25" s="67"/>
      <c r="AT25" s="65">
        <f t="shared" si="17"/>
        <v>0</v>
      </c>
      <c r="AU25" s="67"/>
      <c r="AV25" s="65">
        <f t="shared" si="18"/>
        <v>0</v>
      </c>
      <c r="AW25" s="67"/>
      <c r="AX25" s="65">
        <f t="shared" si="19"/>
        <v>0</v>
      </c>
      <c r="AY25" s="67">
        <v>0.03</v>
      </c>
      <c r="AZ25" s="65">
        <f t="shared" si="20"/>
        <v>1785.6899999999998</v>
      </c>
      <c r="BA25" s="67">
        <v>0.03</v>
      </c>
      <c r="BB25" s="65">
        <f t="shared" si="21"/>
        <v>1785.6899999999998</v>
      </c>
      <c r="BC25" s="67">
        <v>0.04</v>
      </c>
      <c r="BD25" s="65">
        <f t="shared" si="22"/>
        <v>2380.92</v>
      </c>
      <c r="BE25" s="67">
        <v>0.3</v>
      </c>
      <c r="BF25" s="65">
        <f t="shared" si="23"/>
        <v>17856.899999999998</v>
      </c>
      <c r="BG25" s="67">
        <v>0.2</v>
      </c>
      <c r="BH25" s="65">
        <f t="shared" si="24"/>
        <v>11904.6</v>
      </c>
      <c r="BI25" s="67"/>
      <c r="BJ25" s="65">
        <f t="shared" si="25"/>
        <v>0</v>
      </c>
      <c r="BK25" s="68">
        <f t="shared" si="31"/>
        <v>0.89999999999999991</v>
      </c>
      <c r="BL25" s="69">
        <f t="shared" si="32"/>
        <v>53570.7</v>
      </c>
      <c r="BM25" s="70">
        <f t="shared" si="33"/>
        <v>0.89999999999999991</v>
      </c>
      <c r="BN25" s="71">
        <f t="shared" si="28"/>
        <v>0.10000000000000009</v>
      </c>
      <c r="BO25" s="72">
        <f t="shared" si="29"/>
        <v>5952.3000000000029</v>
      </c>
      <c r="BP25" s="179">
        <f t="shared" si="34"/>
        <v>0.10000000000000005</v>
      </c>
      <c r="CM25" s="191"/>
    </row>
    <row r="26" spans="2:91" s="121" customFormat="1" ht="16.5" customHeight="1" x14ac:dyDescent="0.2">
      <c r="B26" s="120"/>
      <c r="C26" s="56" t="s">
        <v>127</v>
      </c>
      <c r="D26" s="56" t="s">
        <v>96</v>
      </c>
      <c r="E26" s="57" t="s">
        <v>812</v>
      </c>
      <c r="F26" s="58" t="s">
        <v>813</v>
      </c>
      <c r="G26" s="59" t="s">
        <v>620</v>
      </c>
      <c r="H26" s="60">
        <v>1</v>
      </c>
      <c r="I26" s="61">
        <v>8753</v>
      </c>
      <c r="J26" s="60">
        <v>8753</v>
      </c>
      <c r="K26" s="62">
        <f t="shared" si="30"/>
        <v>0</v>
      </c>
      <c r="L26" s="63">
        <f t="shared" si="0"/>
        <v>0</v>
      </c>
      <c r="M26" s="64"/>
      <c r="N26" s="65">
        <f t="shared" si="1"/>
        <v>0</v>
      </c>
      <c r="O26" s="64"/>
      <c r="P26" s="65">
        <f t="shared" si="2"/>
        <v>0</v>
      </c>
      <c r="Q26" s="66"/>
      <c r="R26" s="65">
        <f t="shared" si="3"/>
        <v>0</v>
      </c>
      <c r="S26" s="67"/>
      <c r="T26" s="65">
        <f t="shared" si="4"/>
        <v>0</v>
      </c>
      <c r="U26" s="67"/>
      <c r="V26" s="65">
        <f t="shared" si="5"/>
        <v>0</v>
      </c>
      <c r="W26" s="67"/>
      <c r="X26" s="65">
        <f t="shared" si="6"/>
        <v>0</v>
      </c>
      <c r="Y26" s="67"/>
      <c r="Z26" s="65">
        <f t="shared" si="7"/>
        <v>0</v>
      </c>
      <c r="AA26" s="67"/>
      <c r="AB26" s="65">
        <f t="shared" si="8"/>
        <v>0</v>
      </c>
      <c r="AC26" s="67"/>
      <c r="AD26" s="65">
        <f t="shared" si="9"/>
        <v>0</v>
      </c>
      <c r="AE26" s="67"/>
      <c r="AF26" s="65">
        <f t="shared" si="10"/>
        <v>0</v>
      </c>
      <c r="AG26" s="67"/>
      <c r="AH26" s="65">
        <f t="shared" si="11"/>
        <v>0</v>
      </c>
      <c r="AI26" s="67"/>
      <c r="AJ26" s="65">
        <f t="shared" si="12"/>
        <v>0</v>
      </c>
      <c r="AK26" s="67"/>
      <c r="AL26" s="65">
        <f t="shared" si="13"/>
        <v>0</v>
      </c>
      <c r="AM26" s="67"/>
      <c r="AN26" s="65">
        <f t="shared" si="14"/>
        <v>0</v>
      </c>
      <c r="AO26" s="67"/>
      <c r="AP26" s="65">
        <f t="shared" si="15"/>
        <v>0</v>
      </c>
      <c r="AQ26" s="67"/>
      <c r="AR26" s="65">
        <f t="shared" si="16"/>
        <v>0</v>
      </c>
      <c r="AS26" s="67"/>
      <c r="AT26" s="65">
        <f t="shared" si="17"/>
        <v>0</v>
      </c>
      <c r="AU26" s="67"/>
      <c r="AV26" s="65">
        <f t="shared" si="18"/>
        <v>0</v>
      </c>
      <c r="AW26" s="67"/>
      <c r="AX26" s="65">
        <f t="shared" si="19"/>
        <v>0</v>
      </c>
      <c r="AY26" s="67"/>
      <c r="AZ26" s="65">
        <f t="shared" si="20"/>
        <v>0</v>
      </c>
      <c r="BA26" s="67"/>
      <c r="BB26" s="65">
        <f t="shared" si="21"/>
        <v>0</v>
      </c>
      <c r="BC26" s="67"/>
      <c r="BD26" s="65">
        <f t="shared" si="22"/>
        <v>0</v>
      </c>
      <c r="BE26" s="67"/>
      <c r="BF26" s="65">
        <f t="shared" si="23"/>
        <v>0</v>
      </c>
      <c r="BG26" s="67"/>
      <c r="BH26" s="65">
        <f t="shared" si="24"/>
        <v>0</v>
      </c>
      <c r="BI26" s="67"/>
      <c r="BJ26" s="65">
        <f t="shared" si="25"/>
        <v>0</v>
      </c>
      <c r="BK26" s="68">
        <f t="shared" si="31"/>
        <v>0</v>
      </c>
      <c r="BL26" s="69">
        <f t="shared" si="32"/>
        <v>0</v>
      </c>
      <c r="BM26" s="70">
        <f t="shared" si="33"/>
        <v>0</v>
      </c>
      <c r="BN26" s="71">
        <f t="shared" si="28"/>
        <v>1</v>
      </c>
      <c r="BO26" s="72">
        <f t="shared" si="29"/>
        <v>8753</v>
      </c>
      <c r="BP26" s="179">
        <f t="shared" si="34"/>
        <v>1</v>
      </c>
      <c r="BQ26" s="185"/>
      <c r="BR26" s="185"/>
      <c r="BS26" s="185"/>
      <c r="CM26" s="191"/>
    </row>
    <row r="27" spans="2:91" s="121" customFormat="1" ht="16.5" customHeight="1" x14ac:dyDescent="0.2">
      <c r="B27" s="120"/>
      <c r="C27" s="56" t="s">
        <v>130</v>
      </c>
      <c r="D27" s="56" t="s">
        <v>96</v>
      </c>
      <c r="E27" s="57" t="s">
        <v>814</v>
      </c>
      <c r="F27" s="58" t="s">
        <v>815</v>
      </c>
      <c r="G27" s="59" t="s">
        <v>620</v>
      </c>
      <c r="H27" s="60">
        <v>1</v>
      </c>
      <c r="I27" s="61">
        <v>0</v>
      </c>
      <c r="J27" s="60">
        <v>0</v>
      </c>
      <c r="K27" s="62">
        <f t="shared" si="30"/>
        <v>0</v>
      </c>
      <c r="L27" s="63">
        <f t="shared" si="0"/>
        <v>0</v>
      </c>
      <c r="M27" s="64"/>
      <c r="N27" s="65">
        <f t="shared" si="1"/>
        <v>0</v>
      </c>
      <c r="O27" s="64"/>
      <c r="P27" s="65">
        <f t="shared" si="2"/>
        <v>0</v>
      </c>
      <c r="Q27" s="66"/>
      <c r="R27" s="65">
        <f t="shared" si="3"/>
        <v>0</v>
      </c>
      <c r="S27" s="67"/>
      <c r="T27" s="65">
        <f t="shared" si="4"/>
        <v>0</v>
      </c>
      <c r="U27" s="67"/>
      <c r="V27" s="65">
        <f t="shared" si="5"/>
        <v>0</v>
      </c>
      <c r="W27" s="67"/>
      <c r="X27" s="65">
        <f t="shared" si="6"/>
        <v>0</v>
      </c>
      <c r="Y27" s="67"/>
      <c r="Z27" s="65">
        <f t="shared" si="7"/>
        <v>0</v>
      </c>
      <c r="AA27" s="67"/>
      <c r="AB27" s="65">
        <f t="shared" si="8"/>
        <v>0</v>
      </c>
      <c r="AC27" s="67"/>
      <c r="AD27" s="65">
        <f t="shared" si="9"/>
        <v>0</v>
      </c>
      <c r="AE27" s="67"/>
      <c r="AF27" s="65">
        <f t="shared" si="10"/>
        <v>0</v>
      </c>
      <c r="AG27" s="67"/>
      <c r="AH27" s="65">
        <f t="shared" si="11"/>
        <v>0</v>
      </c>
      <c r="AI27" s="67"/>
      <c r="AJ27" s="65">
        <f t="shared" si="12"/>
        <v>0</v>
      </c>
      <c r="AK27" s="67"/>
      <c r="AL27" s="65">
        <f t="shared" si="13"/>
        <v>0</v>
      </c>
      <c r="AM27" s="67"/>
      <c r="AN27" s="65">
        <f t="shared" si="14"/>
        <v>0</v>
      </c>
      <c r="AO27" s="67"/>
      <c r="AP27" s="65">
        <f t="shared" si="15"/>
        <v>0</v>
      </c>
      <c r="AQ27" s="67"/>
      <c r="AR27" s="65">
        <f t="shared" si="16"/>
        <v>0</v>
      </c>
      <c r="AS27" s="67"/>
      <c r="AT27" s="65">
        <f t="shared" si="17"/>
        <v>0</v>
      </c>
      <c r="AU27" s="67"/>
      <c r="AV27" s="65">
        <f t="shared" si="18"/>
        <v>0</v>
      </c>
      <c r="AW27" s="67"/>
      <c r="AX27" s="65">
        <f t="shared" si="19"/>
        <v>0</v>
      </c>
      <c r="AY27" s="67"/>
      <c r="AZ27" s="65">
        <f t="shared" si="20"/>
        <v>0</v>
      </c>
      <c r="BA27" s="67"/>
      <c r="BB27" s="65">
        <f t="shared" si="21"/>
        <v>0</v>
      </c>
      <c r="BC27" s="67"/>
      <c r="BD27" s="65">
        <f t="shared" si="22"/>
        <v>0</v>
      </c>
      <c r="BE27" s="67"/>
      <c r="BF27" s="65">
        <f t="shared" si="23"/>
        <v>0</v>
      </c>
      <c r="BG27" s="67"/>
      <c r="BH27" s="65">
        <f t="shared" si="24"/>
        <v>0</v>
      </c>
      <c r="BI27" s="67"/>
      <c r="BJ27" s="65">
        <f t="shared" si="25"/>
        <v>0</v>
      </c>
      <c r="BK27" s="68">
        <f t="shared" si="31"/>
        <v>0</v>
      </c>
      <c r="BL27" s="69">
        <f t="shared" si="32"/>
        <v>0</v>
      </c>
      <c r="BM27" s="70">
        <f t="shared" si="33"/>
        <v>0</v>
      </c>
      <c r="BN27" s="71">
        <f t="shared" si="28"/>
        <v>1</v>
      </c>
      <c r="BO27" s="72">
        <f t="shared" si="29"/>
        <v>0</v>
      </c>
      <c r="BP27" s="179">
        <f t="shared" si="34"/>
        <v>0</v>
      </c>
      <c r="BQ27" s="185"/>
      <c r="BR27" s="185"/>
      <c r="BS27" s="185"/>
      <c r="CM27" s="191"/>
    </row>
    <row r="28" spans="2:91" s="121" customFormat="1" ht="90" customHeight="1" x14ac:dyDescent="0.2">
      <c r="B28" s="120"/>
      <c r="C28" s="56" t="s">
        <v>134</v>
      </c>
      <c r="D28" s="56" t="s">
        <v>96</v>
      </c>
      <c r="E28" s="57" t="s">
        <v>816</v>
      </c>
      <c r="F28" s="58" t="s">
        <v>817</v>
      </c>
      <c r="G28" s="59" t="s">
        <v>620</v>
      </c>
      <c r="H28" s="60">
        <v>1</v>
      </c>
      <c r="I28" s="61">
        <v>96287</v>
      </c>
      <c r="J28" s="60">
        <v>96287</v>
      </c>
      <c r="K28" s="62">
        <f t="shared" si="30"/>
        <v>0.88200000000000023</v>
      </c>
      <c r="L28" s="63">
        <f t="shared" si="0"/>
        <v>84925.13400000002</v>
      </c>
      <c r="M28" s="64"/>
      <c r="N28" s="65">
        <f t="shared" si="1"/>
        <v>0</v>
      </c>
      <c r="O28" s="64"/>
      <c r="P28" s="65">
        <f t="shared" si="2"/>
        <v>0</v>
      </c>
      <c r="Q28" s="66"/>
      <c r="R28" s="65">
        <f t="shared" si="3"/>
        <v>0</v>
      </c>
      <c r="S28" s="67"/>
      <c r="T28" s="65">
        <f t="shared" si="4"/>
        <v>0</v>
      </c>
      <c r="U28" s="67">
        <v>0.02</v>
      </c>
      <c r="V28" s="65">
        <f t="shared" si="5"/>
        <v>1925.74</v>
      </c>
      <c r="W28" s="67">
        <v>1.2E-2</v>
      </c>
      <c r="X28" s="65">
        <f t="shared" si="6"/>
        <v>1155.444</v>
      </c>
      <c r="Y28" s="67"/>
      <c r="Z28" s="65">
        <f t="shared" si="7"/>
        <v>0</v>
      </c>
      <c r="AA28" s="67">
        <v>0.06</v>
      </c>
      <c r="AB28" s="65">
        <f t="shared" si="8"/>
        <v>5777.2199999999993</v>
      </c>
      <c r="AC28" s="67">
        <v>0.02</v>
      </c>
      <c r="AD28" s="65">
        <f t="shared" si="9"/>
        <v>1925.74</v>
      </c>
      <c r="AE28" s="67">
        <v>0.02</v>
      </c>
      <c r="AF28" s="65">
        <f t="shared" si="10"/>
        <v>1925.74</v>
      </c>
      <c r="AG28" s="67">
        <v>0.05</v>
      </c>
      <c r="AH28" s="65">
        <f t="shared" si="11"/>
        <v>4814.3500000000004</v>
      </c>
      <c r="AI28" s="67"/>
      <c r="AJ28" s="65">
        <f t="shared" si="12"/>
        <v>0</v>
      </c>
      <c r="AK28" s="67">
        <v>0.3</v>
      </c>
      <c r="AL28" s="65">
        <f t="shared" si="13"/>
        <v>28886.1</v>
      </c>
      <c r="AM28" s="67">
        <v>0.02</v>
      </c>
      <c r="AN28" s="65">
        <f t="shared" si="14"/>
        <v>1925.74</v>
      </c>
      <c r="AO28" s="67">
        <v>0.02</v>
      </c>
      <c r="AP28" s="65">
        <f t="shared" si="15"/>
        <v>1925.74</v>
      </c>
      <c r="AQ28" s="67">
        <v>0.06</v>
      </c>
      <c r="AR28" s="65">
        <f t="shared" si="16"/>
        <v>5777.2199999999993</v>
      </c>
      <c r="AS28" s="67"/>
      <c r="AT28" s="65">
        <f t="shared" si="17"/>
        <v>0</v>
      </c>
      <c r="AU28" s="67"/>
      <c r="AV28" s="65">
        <f t="shared" si="18"/>
        <v>0</v>
      </c>
      <c r="AW28" s="67"/>
      <c r="AX28" s="65">
        <f t="shared" si="19"/>
        <v>0</v>
      </c>
      <c r="AY28" s="67">
        <v>0.03</v>
      </c>
      <c r="AZ28" s="65">
        <f t="shared" si="20"/>
        <v>2888.6099999999997</v>
      </c>
      <c r="BA28" s="67">
        <v>0.03</v>
      </c>
      <c r="BB28" s="65">
        <f t="shared" si="21"/>
        <v>2888.6099999999997</v>
      </c>
      <c r="BC28" s="67">
        <v>0.04</v>
      </c>
      <c r="BD28" s="65">
        <f t="shared" si="22"/>
        <v>3851.48</v>
      </c>
      <c r="BE28" s="67">
        <v>0.05</v>
      </c>
      <c r="BF28" s="65">
        <f t="shared" si="23"/>
        <v>4814.3500000000004</v>
      </c>
      <c r="BG28" s="67">
        <v>0.15</v>
      </c>
      <c r="BH28" s="65">
        <f t="shared" si="24"/>
        <v>14443.05</v>
      </c>
      <c r="BI28" s="67"/>
      <c r="BJ28" s="65">
        <f t="shared" si="25"/>
        <v>0</v>
      </c>
      <c r="BK28" s="68">
        <f t="shared" si="31"/>
        <v>0.88200000000000023</v>
      </c>
      <c r="BL28" s="69">
        <f t="shared" si="32"/>
        <v>84925.133999999991</v>
      </c>
      <c r="BM28" s="70">
        <f t="shared" si="33"/>
        <v>0.8819999999999999</v>
      </c>
      <c r="BN28" s="71">
        <f t="shared" si="28"/>
        <v>0.11799999999999977</v>
      </c>
      <c r="BO28" s="72">
        <f t="shared" si="29"/>
        <v>11361.866000000009</v>
      </c>
      <c r="BP28" s="179">
        <f t="shared" si="34"/>
        <v>0.11800000000000009</v>
      </c>
      <c r="BQ28" s="185"/>
      <c r="BR28" s="185"/>
      <c r="BS28" s="185"/>
      <c r="BZ28" s="186" t="s">
        <v>1075</v>
      </c>
      <c r="CA28" s="121" t="s">
        <v>1088</v>
      </c>
      <c r="CB28" s="190" t="s">
        <v>1100</v>
      </c>
      <c r="CM28" s="191"/>
    </row>
    <row r="29" spans="2:91" s="121" customFormat="1" ht="16.5" customHeight="1" x14ac:dyDescent="0.2">
      <c r="B29" s="120"/>
      <c r="C29" s="56" t="s">
        <v>2</v>
      </c>
      <c r="D29" s="56" t="s">
        <v>96</v>
      </c>
      <c r="E29" s="57" t="s">
        <v>818</v>
      </c>
      <c r="F29" s="58" t="s">
        <v>819</v>
      </c>
      <c r="G29" s="59" t="s">
        <v>620</v>
      </c>
      <c r="H29" s="60">
        <v>1</v>
      </c>
      <c r="I29" s="61">
        <v>52520</v>
      </c>
      <c r="J29" s="60">
        <v>52520</v>
      </c>
      <c r="K29" s="62">
        <f t="shared" si="30"/>
        <v>0</v>
      </c>
      <c r="L29" s="63">
        <f t="shared" si="0"/>
        <v>0</v>
      </c>
      <c r="M29" s="64"/>
      <c r="N29" s="65">
        <f t="shared" si="1"/>
        <v>0</v>
      </c>
      <c r="O29" s="64"/>
      <c r="P29" s="65">
        <f t="shared" si="2"/>
        <v>0</v>
      </c>
      <c r="Q29" s="66"/>
      <c r="R29" s="65">
        <f t="shared" si="3"/>
        <v>0</v>
      </c>
      <c r="S29" s="67">
        <v>0</v>
      </c>
      <c r="T29" s="65">
        <f t="shared" si="4"/>
        <v>0</v>
      </c>
      <c r="U29" s="67">
        <v>0</v>
      </c>
      <c r="V29" s="65">
        <f t="shared" si="5"/>
        <v>0</v>
      </c>
      <c r="W29" s="67"/>
      <c r="X29" s="65">
        <f t="shared" si="6"/>
        <v>0</v>
      </c>
      <c r="Y29" s="67"/>
      <c r="Z29" s="65">
        <f t="shared" si="7"/>
        <v>0</v>
      </c>
      <c r="AA29" s="67"/>
      <c r="AB29" s="65">
        <f t="shared" si="8"/>
        <v>0</v>
      </c>
      <c r="AC29" s="67"/>
      <c r="AD29" s="65">
        <f t="shared" si="9"/>
        <v>0</v>
      </c>
      <c r="AE29" s="67"/>
      <c r="AF29" s="65">
        <f t="shared" si="10"/>
        <v>0</v>
      </c>
      <c r="AG29" s="67"/>
      <c r="AH29" s="65">
        <f t="shared" si="11"/>
        <v>0</v>
      </c>
      <c r="AI29" s="67"/>
      <c r="AJ29" s="65">
        <f t="shared" si="12"/>
        <v>0</v>
      </c>
      <c r="AK29" s="67"/>
      <c r="AL29" s="65">
        <f t="shared" si="13"/>
        <v>0</v>
      </c>
      <c r="AM29" s="67"/>
      <c r="AN29" s="65">
        <f t="shared" si="14"/>
        <v>0</v>
      </c>
      <c r="AO29" s="67"/>
      <c r="AP29" s="65">
        <f t="shared" si="15"/>
        <v>0</v>
      </c>
      <c r="AQ29" s="67"/>
      <c r="AR29" s="65">
        <f t="shared" si="16"/>
        <v>0</v>
      </c>
      <c r="AS29" s="67"/>
      <c r="AT29" s="65">
        <f t="shared" si="17"/>
        <v>0</v>
      </c>
      <c r="AU29" s="67"/>
      <c r="AV29" s="65">
        <f t="shared" si="18"/>
        <v>0</v>
      </c>
      <c r="AW29" s="67"/>
      <c r="AX29" s="65">
        <f t="shared" si="19"/>
        <v>0</v>
      </c>
      <c r="AY29" s="67"/>
      <c r="AZ29" s="65">
        <f t="shared" si="20"/>
        <v>0</v>
      </c>
      <c r="BA29" s="67"/>
      <c r="BB29" s="65">
        <f t="shared" si="21"/>
        <v>0</v>
      </c>
      <c r="BC29" s="67"/>
      <c r="BD29" s="65">
        <f t="shared" si="22"/>
        <v>0</v>
      </c>
      <c r="BE29" s="67"/>
      <c r="BF29" s="65">
        <f t="shared" si="23"/>
        <v>0</v>
      </c>
      <c r="BG29" s="67"/>
      <c r="BH29" s="65">
        <f t="shared" si="24"/>
        <v>0</v>
      </c>
      <c r="BI29" s="67"/>
      <c r="BJ29" s="65">
        <f t="shared" si="25"/>
        <v>0</v>
      </c>
      <c r="BK29" s="68">
        <f t="shared" si="31"/>
        <v>0</v>
      </c>
      <c r="BL29" s="69">
        <f t="shared" si="32"/>
        <v>0</v>
      </c>
      <c r="BM29" s="70">
        <f t="shared" si="33"/>
        <v>0</v>
      </c>
      <c r="BN29" s="71">
        <f t="shared" si="28"/>
        <v>1</v>
      </c>
      <c r="BO29" s="72">
        <f t="shared" si="29"/>
        <v>52520</v>
      </c>
      <c r="BP29" s="179">
        <f t="shared" si="34"/>
        <v>1</v>
      </c>
      <c r="BQ29" s="185"/>
      <c r="BR29" s="185"/>
      <c r="BS29" s="185"/>
      <c r="CM29" s="191"/>
    </row>
    <row r="30" spans="2:91" s="121" customFormat="1" ht="33.75" x14ac:dyDescent="0.2">
      <c r="B30" s="120"/>
      <c r="C30" s="56" t="s">
        <v>141</v>
      </c>
      <c r="D30" s="56" t="s">
        <v>96</v>
      </c>
      <c r="E30" s="57" t="s">
        <v>820</v>
      </c>
      <c r="F30" s="58" t="s">
        <v>821</v>
      </c>
      <c r="G30" s="59" t="s">
        <v>620</v>
      </c>
      <c r="H30" s="60">
        <v>1</v>
      </c>
      <c r="I30" s="61">
        <v>59523</v>
      </c>
      <c r="J30" s="60">
        <v>59523</v>
      </c>
      <c r="K30" s="62">
        <f t="shared" si="30"/>
        <v>0.79999999999999993</v>
      </c>
      <c r="L30" s="63">
        <f t="shared" si="0"/>
        <v>47618.399999999994</v>
      </c>
      <c r="M30" s="64"/>
      <c r="N30" s="65">
        <f t="shared" si="1"/>
        <v>0</v>
      </c>
      <c r="O30" s="64"/>
      <c r="P30" s="65">
        <f t="shared" si="2"/>
        <v>0</v>
      </c>
      <c r="Q30" s="66"/>
      <c r="R30" s="65">
        <f t="shared" si="3"/>
        <v>0</v>
      </c>
      <c r="S30" s="67"/>
      <c r="T30" s="65">
        <f t="shared" si="4"/>
        <v>0</v>
      </c>
      <c r="U30" s="67"/>
      <c r="V30" s="65">
        <f t="shared" si="5"/>
        <v>0</v>
      </c>
      <c r="W30" s="67"/>
      <c r="X30" s="65">
        <f t="shared" si="6"/>
        <v>0</v>
      </c>
      <c r="Y30" s="67"/>
      <c r="Z30" s="65">
        <f t="shared" si="7"/>
        <v>0</v>
      </c>
      <c r="AA30" s="67"/>
      <c r="AB30" s="65">
        <f t="shared" si="8"/>
        <v>0</v>
      </c>
      <c r="AC30" s="67"/>
      <c r="AD30" s="65">
        <f t="shared" si="9"/>
        <v>0</v>
      </c>
      <c r="AE30" s="67"/>
      <c r="AF30" s="65">
        <f t="shared" si="10"/>
        <v>0</v>
      </c>
      <c r="AG30" s="67"/>
      <c r="AH30" s="65">
        <f t="shared" si="11"/>
        <v>0</v>
      </c>
      <c r="AI30" s="67"/>
      <c r="AJ30" s="65">
        <f t="shared" si="12"/>
        <v>0</v>
      </c>
      <c r="AK30" s="67"/>
      <c r="AL30" s="65">
        <f t="shared" si="13"/>
        <v>0</v>
      </c>
      <c r="AM30" s="67"/>
      <c r="AN30" s="65">
        <f t="shared" si="14"/>
        <v>0</v>
      </c>
      <c r="AO30" s="67"/>
      <c r="AP30" s="65">
        <f t="shared" si="15"/>
        <v>0</v>
      </c>
      <c r="AQ30" s="67"/>
      <c r="AR30" s="65">
        <f t="shared" si="16"/>
        <v>0</v>
      </c>
      <c r="AS30" s="67"/>
      <c r="AT30" s="65">
        <f t="shared" si="17"/>
        <v>0</v>
      </c>
      <c r="AU30" s="67">
        <v>0.3</v>
      </c>
      <c r="AV30" s="65">
        <f t="shared" si="18"/>
        <v>17856.899999999998</v>
      </c>
      <c r="AW30" s="67"/>
      <c r="AX30" s="65">
        <f t="shared" si="19"/>
        <v>0</v>
      </c>
      <c r="AY30" s="67"/>
      <c r="AZ30" s="65">
        <f t="shared" si="20"/>
        <v>0</v>
      </c>
      <c r="BA30" s="67">
        <v>0.2</v>
      </c>
      <c r="BB30" s="65">
        <f t="shared" si="21"/>
        <v>11904.6</v>
      </c>
      <c r="BC30" s="67"/>
      <c r="BD30" s="65">
        <f t="shared" si="22"/>
        <v>0</v>
      </c>
      <c r="BE30" s="67">
        <v>0.1</v>
      </c>
      <c r="BF30" s="65">
        <f t="shared" si="23"/>
        <v>5952.3</v>
      </c>
      <c r="BG30" s="67">
        <v>0.2</v>
      </c>
      <c r="BH30" s="65">
        <f t="shared" si="24"/>
        <v>11904.6</v>
      </c>
      <c r="BI30" s="67">
        <v>0.05</v>
      </c>
      <c r="BJ30" s="65">
        <f t="shared" si="25"/>
        <v>2976.15</v>
      </c>
      <c r="BK30" s="68">
        <f t="shared" si="31"/>
        <v>0.85000000000000009</v>
      </c>
      <c r="BL30" s="69">
        <f t="shared" si="32"/>
        <v>50594.55</v>
      </c>
      <c r="BM30" s="70">
        <f t="shared" si="33"/>
        <v>0.85000000000000009</v>
      </c>
      <c r="BN30" s="71">
        <f t="shared" si="28"/>
        <v>0.14999999999999991</v>
      </c>
      <c r="BO30" s="72">
        <f t="shared" si="29"/>
        <v>8928.4499999999971</v>
      </c>
      <c r="BP30" s="179">
        <f t="shared" si="34"/>
        <v>0.14999999999999994</v>
      </c>
      <c r="BQ30" s="185"/>
      <c r="BR30" s="185"/>
      <c r="CE30" s="186" t="s">
        <v>1153</v>
      </c>
      <c r="CF30" s="121" t="s">
        <v>1154</v>
      </c>
      <c r="CG30" s="224" t="s">
        <v>1162</v>
      </c>
      <c r="CJ30" s="190" t="s">
        <v>1188</v>
      </c>
      <c r="CK30" s="121" t="s">
        <v>1189</v>
      </c>
      <c r="CL30" s="186" t="s">
        <v>1153</v>
      </c>
      <c r="CM30" s="191" t="s">
        <v>1206</v>
      </c>
    </row>
    <row r="31" spans="2:91" s="121" customFormat="1" ht="16.5" customHeight="1" x14ac:dyDescent="0.2">
      <c r="B31" s="120"/>
      <c r="C31" s="56" t="s">
        <v>144</v>
      </c>
      <c r="D31" s="56" t="s">
        <v>96</v>
      </c>
      <c r="E31" s="57" t="s">
        <v>822</v>
      </c>
      <c r="F31" s="58" t="s">
        <v>823</v>
      </c>
      <c r="G31" s="59" t="s">
        <v>620</v>
      </c>
      <c r="H31" s="60">
        <v>1</v>
      </c>
      <c r="I31" s="61">
        <v>43767</v>
      </c>
      <c r="J31" s="60">
        <v>43767</v>
      </c>
      <c r="K31" s="62">
        <f t="shared" si="30"/>
        <v>0.80200000000000005</v>
      </c>
      <c r="L31" s="63">
        <f t="shared" si="0"/>
        <v>35101.134000000005</v>
      </c>
      <c r="M31" s="64"/>
      <c r="N31" s="65">
        <f t="shared" si="1"/>
        <v>0</v>
      </c>
      <c r="O31" s="64"/>
      <c r="P31" s="65">
        <f t="shared" si="2"/>
        <v>0</v>
      </c>
      <c r="Q31" s="66"/>
      <c r="R31" s="65">
        <f t="shared" si="3"/>
        <v>0</v>
      </c>
      <c r="S31" s="67">
        <v>0.01</v>
      </c>
      <c r="T31" s="65">
        <f t="shared" si="4"/>
        <v>437.67</v>
      </c>
      <c r="U31" s="67">
        <v>0.01</v>
      </c>
      <c r="V31" s="65">
        <f t="shared" si="5"/>
        <v>437.67</v>
      </c>
      <c r="W31" s="67">
        <v>1.2E-2</v>
      </c>
      <c r="X31" s="65">
        <f t="shared" si="6"/>
        <v>525.20400000000006</v>
      </c>
      <c r="Y31" s="67"/>
      <c r="Z31" s="65">
        <f t="shared" si="7"/>
        <v>0</v>
      </c>
      <c r="AA31" s="67">
        <v>0.06</v>
      </c>
      <c r="AB31" s="65">
        <f t="shared" si="8"/>
        <v>2626.02</v>
      </c>
      <c r="AC31" s="67">
        <v>0.02</v>
      </c>
      <c r="AD31" s="65">
        <f t="shared" si="9"/>
        <v>875.34</v>
      </c>
      <c r="AE31" s="67">
        <v>0.02</v>
      </c>
      <c r="AF31" s="65">
        <f t="shared" si="10"/>
        <v>875.34</v>
      </c>
      <c r="AG31" s="67">
        <v>0.05</v>
      </c>
      <c r="AH31" s="65">
        <f t="shared" si="11"/>
        <v>2188.35</v>
      </c>
      <c r="AI31" s="67"/>
      <c r="AJ31" s="65">
        <f t="shared" si="12"/>
        <v>0</v>
      </c>
      <c r="AK31" s="67">
        <v>0.03</v>
      </c>
      <c r="AL31" s="65">
        <f t="shared" si="13"/>
        <v>1313.01</v>
      </c>
      <c r="AM31" s="67">
        <v>0.02</v>
      </c>
      <c r="AN31" s="65">
        <f t="shared" si="14"/>
        <v>875.34</v>
      </c>
      <c r="AO31" s="67">
        <v>0.02</v>
      </c>
      <c r="AP31" s="65">
        <f t="shared" si="15"/>
        <v>875.34</v>
      </c>
      <c r="AQ31" s="67">
        <v>0.06</v>
      </c>
      <c r="AR31" s="65">
        <f t="shared" si="16"/>
        <v>2626.02</v>
      </c>
      <c r="AS31" s="67"/>
      <c r="AT31" s="65">
        <f t="shared" si="17"/>
        <v>0</v>
      </c>
      <c r="AU31" s="67">
        <v>0.1</v>
      </c>
      <c r="AV31" s="65">
        <f t="shared" si="18"/>
        <v>4376.7</v>
      </c>
      <c r="AW31" s="67">
        <v>0.1</v>
      </c>
      <c r="AX31" s="65">
        <f t="shared" si="19"/>
        <v>4376.7</v>
      </c>
      <c r="AY31" s="67">
        <v>0.03</v>
      </c>
      <c r="AZ31" s="65">
        <f t="shared" si="20"/>
        <v>1313.01</v>
      </c>
      <c r="BA31" s="67">
        <v>0.03</v>
      </c>
      <c r="BB31" s="65">
        <f t="shared" si="21"/>
        <v>1313.01</v>
      </c>
      <c r="BC31" s="67">
        <v>0.04</v>
      </c>
      <c r="BD31" s="65">
        <f t="shared" si="22"/>
        <v>1750.68</v>
      </c>
      <c r="BE31" s="67">
        <v>0.1</v>
      </c>
      <c r="BF31" s="65">
        <f t="shared" si="23"/>
        <v>4376.7</v>
      </c>
      <c r="BG31" s="67">
        <v>0.09</v>
      </c>
      <c r="BH31" s="65">
        <f t="shared" si="24"/>
        <v>3939.0299999999997</v>
      </c>
      <c r="BI31" s="67">
        <v>0.1</v>
      </c>
      <c r="BJ31" s="65">
        <f t="shared" si="25"/>
        <v>4376.7</v>
      </c>
      <c r="BK31" s="68">
        <f t="shared" si="31"/>
        <v>0.90200000000000002</v>
      </c>
      <c r="BL31" s="69">
        <f t="shared" si="32"/>
        <v>39477.834000000003</v>
      </c>
      <c r="BM31" s="70">
        <f t="shared" si="33"/>
        <v>0.90200000000000002</v>
      </c>
      <c r="BN31" s="71">
        <f t="shared" si="28"/>
        <v>9.7999999999999976E-2</v>
      </c>
      <c r="BO31" s="72">
        <f t="shared" si="29"/>
        <v>4289.1659999999974</v>
      </c>
      <c r="BP31" s="179">
        <f t="shared" si="34"/>
        <v>9.7999999999999948E-2</v>
      </c>
      <c r="BQ31" s="185"/>
      <c r="BR31" s="185"/>
      <c r="CM31" s="191"/>
    </row>
    <row r="32" spans="2:91" s="121" customFormat="1" ht="6.95" customHeight="1" x14ac:dyDescent="0.2">
      <c r="B32" s="120"/>
      <c r="C32" s="120"/>
      <c r="D32" s="120"/>
      <c r="E32" s="120"/>
      <c r="F32" s="120"/>
      <c r="G32" s="120"/>
      <c r="H32" s="120"/>
      <c r="I32" s="153"/>
      <c r="J32" s="120"/>
      <c r="AM32" s="204" t="s">
        <v>875</v>
      </c>
      <c r="AQ32" s="204" t="s">
        <v>875</v>
      </c>
      <c r="AY32" s="204" t="s">
        <v>875</v>
      </c>
      <c r="BA32" s="204" t="s">
        <v>875</v>
      </c>
      <c r="BC32" s="204" t="s">
        <v>875</v>
      </c>
      <c r="BE32" s="204" t="s">
        <v>875</v>
      </c>
      <c r="BG32" s="204" t="s">
        <v>875</v>
      </c>
      <c r="BI32" s="204" t="s">
        <v>875</v>
      </c>
      <c r="CM32" s="191"/>
    </row>
    <row r="33" spans="4:67" ht="18" customHeight="1" x14ac:dyDescent="0.2">
      <c r="D33" s="42"/>
      <c r="E33" s="43" t="s">
        <v>914</v>
      </c>
      <c r="F33" s="44"/>
      <c r="G33" s="44"/>
      <c r="H33" s="45"/>
      <c r="I33" s="44"/>
      <c r="J33" s="46">
        <f>ROUND(SUM(J15:J31),2)</f>
        <v>2276928</v>
      </c>
      <c r="K33" s="47"/>
      <c r="L33" s="46">
        <f>ROUND(SUM(L12:L31),2)</f>
        <v>1320675.55</v>
      </c>
      <c r="M33" s="48" t="s">
        <v>875</v>
      </c>
      <c r="N33" s="46">
        <f>ROUND(SUBTOTAL(9,N12:N31),2)</f>
        <v>0</v>
      </c>
      <c r="O33" s="48" t="s">
        <v>875</v>
      </c>
      <c r="P33" s="46">
        <f>ROUND(SUBTOTAL(9,P12:P31),2)</f>
        <v>0</v>
      </c>
      <c r="Q33" s="48" t="s">
        <v>875</v>
      </c>
      <c r="R33" s="46">
        <f>ROUND(SUBTOTAL(9,R12:R31),2)</f>
        <v>0</v>
      </c>
      <c r="S33" s="48" t="s">
        <v>875</v>
      </c>
      <c r="T33" s="46">
        <f>ROUND(SUM(T12:T31),2)</f>
        <v>64241.2</v>
      </c>
      <c r="U33" s="48" t="s">
        <v>875</v>
      </c>
      <c r="V33" s="46">
        <f>ROUND(SUM(V12:V31),2)</f>
        <v>14287.3</v>
      </c>
      <c r="W33" s="48" t="s">
        <v>875</v>
      </c>
      <c r="X33" s="46">
        <f>ROUND(SUM(X12:X31),2)</f>
        <v>15275.04</v>
      </c>
      <c r="Y33" s="48" t="s">
        <v>875</v>
      </c>
      <c r="Z33" s="46">
        <f>ROUND(SUM(Z12:Z31),2)</f>
        <v>0</v>
      </c>
      <c r="AA33" s="48" t="s">
        <v>875</v>
      </c>
      <c r="AB33" s="46">
        <f>ROUND(SUM(AB12:AB31),2)</f>
        <v>79946.58</v>
      </c>
      <c r="AC33" s="48" t="s">
        <v>875</v>
      </c>
      <c r="AD33" s="46">
        <f>ROUND(SUM(AD12:AD31),2)</f>
        <v>26648.86</v>
      </c>
      <c r="AE33" s="48" t="s">
        <v>875</v>
      </c>
      <c r="AF33" s="46">
        <f>ROUND(SUM(AF12:AF31),2)</f>
        <v>26648.86</v>
      </c>
      <c r="AG33" s="48" t="s">
        <v>875</v>
      </c>
      <c r="AH33" s="46">
        <f>ROUND(SUM(AH12:AH31),2)</f>
        <v>66622.149999999994</v>
      </c>
      <c r="AI33" s="48" t="s">
        <v>875</v>
      </c>
      <c r="AJ33" s="46">
        <f>ROUND(SUM(AJ12:AJ31),2)</f>
        <v>0</v>
      </c>
      <c r="AK33" s="48" t="s">
        <v>875</v>
      </c>
      <c r="AL33" s="46">
        <f>ROUND(SUBTOTAL(9,AL12:AL31),2)</f>
        <v>89779.78</v>
      </c>
      <c r="AM33" s="48" t="s">
        <v>875</v>
      </c>
      <c r="AN33" s="46">
        <f>ROUND(SUBTOTAL(9,AN12:AN31),2)</f>
        <v>29029.759999999998</v>
      </c>
      <c r="AO33" s="48" t="s">
        <v>875</v>
      </c>
      <c r="AP33" s="46">
        <f>ROUND(SUBTOTAL(9,AP12:AP31),2)</f>
        <v>29029.759999999998</v>
      </c>
      <c r="AQ33" s="46"/>
      <c r="AR33" s="46">
        <f>ROUND(SUBTOTAL(9,AR12:AR31),2)</f>
        <v>87089.279999999999</v>
      </c>
      <c r="AS33" s="48" t="s">
        <v>875</v>
      </c>
      <c r="AT33" s="46">
        <f>ROUND(SUBTOTAL(9,AT12:AT31),2)</f>
        <v>0</v>
      </c>
      <c r="AU33" s="48" t="s">
        <v>875</v>
      </c>
      <c r="AV33" s="46">
        <f>ROUND(SUBTOTAL(9,AV12:AV31),2)</f>
        <v>147424.70000000001</v>
      </c>
      <c r="AW33" s="48" t="s">
        <v>875</v>
      </c>
      <c r="AX33" s="46">
        <f>ROUND(SUBTOTAL(9,AX12:AX31),2)</f>
        <v>124228.3</v>
      </c>
      <c r="AY33" s="48" t="s">
        <v>875</v>
      </c>
      <c r="AZ33" s="46">
        <f>ROUND(SUBTOTAL(9,AZ12:AZ31),2)</f>
        <v>43544.639999999999</v>
      </c>
      <c r="BA33" s="48" t="s">
        <v>875</v>
      </c>
      <c r="BB33" s="46">
        <f>ROUND(SUBTOTAL(9,BB12:BB31),2)</f>
        <v>51877.89</v>
      </c>
      <c r="BC33" s="48" t="s">
        <v>875</v>
      </c>
      <c r="BD33" s="46">
        <f>ROUND(SUBTOTAL(9,BD12:BD31),2)</f>
        <v>53297.72</v>
      </c>
      <c r="BE33" s="48" t="s">
        <v>875</v>
      </c>
      <c r="BF33" s="46">
        <f>ROUND(SUBTOTAL(9,BF12:BF31),2)</f>
        <v>116078.55</v>
      </c>
      <c r="BG33" s="48" t="s">
        <v>875</v>
      </c>
      <c r="BH33" s="46">
        <f>ROUND(SUBTOTAL(9,BH12:BH31),2)</f>
        <v>255625.18</v>
      </c>
      <c r="BI33" s="48" t="s">
        <v>875</v>
      </c>
      <c r="BJ33" s="46">
        <f>ROUND(SUBTOTAL(9,BJ12:BJ31),2)</f>
        <v>75200.399999999994</v>
      </c>
      <c r="BK33" s="49"/>
      <c r="BL33" s="46">
        <f>ROUND(SUM(BL12:BL31),2)</f>
        <v>1395875.95</v>
      </c>
      <c r="BM33" s="46"/>
      <c r="BN33" s="49"/>
      <c r="BO33" s="46">
        <f>ROUND(SUM(BO12:BO31),2)</f>
        <v>881052.05</v>
      </c>
    </row>
    <row r="34" spans="4:67" ht="12.75" x14ac:dyDescent="0.2">
      <c r="H34" s="50"/>
      <c r="I34" s="8"/>
      <c r="J34" s="9"/>
      <c r="K34" s="10"/>
      <c r="L34" s="10"/>
      <c r="M34" s="51" t="s">
        <v>875</v>
      </c>
      <c r="O34" s="51" t="s">
        <v>875</v>
      </c>
      <c r="Q34" s="52" t="s">
        <v>875</v>
      </c>
      <c r="S34" s="52" t="s">
        <v>875</v>
      </c>
      <c r="U34" s="53" t="s">
        <v>875</v>
      </c>
      <c r="Y34" s="53" t="s">
        <v>875</v>
      </c>
      <c r="AA34" s="52" t="s">
        <v>875</v>
      </c>
      <c r="AC34" s="54" t="s">
        <v>875</v>
      </c>
      <c r="AM34" s="203" t="s">
        <v>875</v>
      </c>
      <c r="AQ34" s="203" t="s">
        <v>875</v>
      </c>
      <c r="AY34" s="203" t="s">
        <v>875</v>
      </c>
      <c r="BA34" s="203" t="s">
        <v>875</v>
      </c>
      <c r="BC34" s="203" t="s">
        <v>875</v>
      </c>
      <c r="BE34" s="203" t="s">
        <v>875</v>
      </c>
      <c r="BG34" s="203" t="s">
        <v>875</v>
      </c>
      <c r="BI34" s="203" t="s">
        <v>875</v>
      </c>
    </row>
    <row r="35" spans="4:67" ht="14.25" x14ac:dyDescent="0.2">
      <c r="E35" s="6" t="s">
        <v>849</v>
      </c>
      <c r="F35" s="6"/>
      <c r="H35" s="50"/>
      <c r="I35" s="8"/>
      <c r="J35" s="7" t="s">
        <v>923</v>
      </c>
      <c r="K35" s="10"/>
      <c r="L35" s="10"/>
      <c r="M35" s="51" t="s">
        <v>875</v>
      </c>
      <c r="O35" s="51" t="s">
        <v>875</v>
      </c>
      <c r="Q35" s="52" t="s">
        <v>875</v>
      </c>
      <c r="S35" s="52" t="s">
        <v>875</v>
      </c>
      <c r="U35" s="53" t="s">
        <v>875</v>
      </c>
      <c r="Y35" s="53" t="s">
        <v>875</v>
      </c>
      <c r="AA35" s="52" t="s">
        <v>875</v>
      </c>
      <c r="AC35" s="54" t="s">
        <v>875</v>
      </c>
      <c r="AM35" s="203" t="s">
        <v>875</v>
      </c>
      <c r="AQ35" s="203" t="s">
        <v>875</v>
      </c>
      <c r="AY35" s="203" t="s">
        <v>875</v>
      </c>
      <c r="BA35" s="203" t="s">
        <v>875</v>
      </c>
      <c r="BC35" s="203" t="s">
        <v>875</v>
      </c>
      <c r="BE35" s="203" t="s">
        <v>875</v>
      </c>
      <c r="BG35" s="203" t="s">
        <v>875</v>
      </c>
      <c r="BI35" s="203" t="s">
        <v>875</v>
      </c>
      <c r="BK35" s="6" t="s">
        <v>848</v>
      </c>
    </row>
  </sheetData>
  <sheetProtection formatColumns="0" formatRows="0" autoFilter="0"/>
  <protectedRanges>
    <protectedRange password="CCAA" sqref="BK8 K8" name="Oblast1_1_1"/>
    <protectedRange password="CCAA" sqref="D9:H11" name="Oblast1_2"/>
  </protectedRanges>
  <autoFilter ref="C10:BP31" xr:uid="{00000000-0001-0000-2600-000000000000}">
    <filterColumn colId="10" showButton="0"/>
    <filterColumn colId="12" showButton="0"/>
    <filterColumn colId="16" showButton="0"/>
    <filterColumn colId="18" showButton="0"/>
    <filterColumn colId="20" showButton="0"/>
    <filterColumn colId="22" showButton="0"/>
    <filterColumn colId="24" showButton="0"/>
    <filterColumn colId="26" showButton="0"/>
    <filterColumn colId="28" showButton="0"/>
    <filterColumn colId="30" showButton="0"/>
    <filterColumn colId="32" showButton="0"/>
    <filterColumn colId="34" showButton="0"/>
    <filterColumn colId="38" showButton="0"/>
    <filterColumn colId="42" showButton="0"/>
    <filterColumn colId="44" showButton="0"/>
    <filterColumn colId="46" showButton="0"/>
  </autoFilter>
  <mergeCells count="70">
    <mergeCell ref="CL12:CL14"/>
    <mergeCell ref="AU10:AV10"/>
    <mergeCell ref="AW10:AX10"/>
    <mergeCell ref="BC9:BD9"/>
    <mergeCell ref="AU9:AV9"/>
    <mergeCell ref="AW9:AX9"/>
    <mergeCell ref="AY9:AZ9"/>
    <mergeCell ref="BA9:BB9"/>
    <mergeCell ref="AI10:AJ10"/>
    <mergeCell ref="AK10:AL10"/>
    <mergeCell ref="AS9:AT9"/>
    <mergeCell ref="AI9:AJ9"/>
    <mergeCell ref="AK9:AL9"/>
    <mergeCell ref="AO10:AP10"/>
    <mergeCell ref="AS10:AT10"/>
    <mergeCell ref="AQ9:AR9"/>
    <mergeCell ref="Y10:Z10"/>
    <mergeCell ref="AA10:AB10"/>
    <mergeCell ref="AC10:AD10"/>
    <mergeCell ref="AE10:AF10"/>
    <mergeCell ref="AG10:AH10"/>
    <mergeCell ref="M10:N10"/>
    <mergeCell ref="O10:P10"/>
    <mergeCell ref="S10:T10"/>
    <mergeCell ref="U10:V10"/>
    <mergeCell ref="W10:X10"/>
    <mergeCell ref="AY8:AZ8"/>
    <mergeCell ref="AQ8:AR8"/>
    <mergeCell ref="AS8:AT8"/>
    <mergeCell ref="AU8:AV8"/>
    <mergeCell ref="AW8:AX8"/>
    <mergeCell ref="AE9:AF9"/>
    <mergeCell ref="AG9:AH9"/>
    <mergeCell ref="AO8:AP8"/>
    <mergeCell ref="AM9:AN9"/>
    <mergeCell ref="AO9:AP9"/>
    <mergeCell ref="AK8:AL8"/>
    <mergeCell ref="AM8:AN8"/>
    <mergeCell ref="U9:V9"/>
    <mergeCell ref="W9:X9"/>
    <mergeCell ref="Y9:Z9"/>
    <mergeCell ref="AA9:AB9"/>
    <mergeCell ref="AC9:AD9"/>
    <mergeCell ref="K9:L9"/>
    <mergeCell ref="M9:N9"/>
    <mergeCell ref="O9:P9"/>
    <mergeCell ref="Q9:R9"/>
    <mergeCell ref="S9:T9"/>
    <mergeCell ref="BA8:BB8"/>
    <mergeCell ref="BC8:BD8"/>
    <mergeCell ref="BE8:BF8"/>
    <mergeCell ref="BG8:BH8"/>
    <mergeCell ref="BG9:BH9"/>
    <mergeCell ref="BE9:BF9"/>
    <mergeCell ref="BI8:BJ8"/>
    <mergeCell ref="BI9:BJ9"/>
    <mergeCell ref="BK9:BM9"/>
    <mergeCell ref="BN9:BP9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AE8:AF8"/>
    <mergeCell ref="AG8:AH8"/>
    <mergeCell ref="AI8:AJ8"/>
  </mergeCells>
  <conditionalFormatting sqref="D3:E8 H3:N7 H8:L8 D9:L10 D11:AL11 BE11:BF11 BQ9:JI9 O1:AI7 D1:N2 AK1:BF7 BQ10 BS10:JI11 BK1:JI8 BK11:BQ11">
    <cfRule type="cellIs" dxfId="102" priority="105" operator="lessThan">
      <formula>0</formula>
    </cfRule>
  </conditionalFormatting>
  <conditionalFormatting sqref="G4">
    <cfRule type="cellIs" dxfId="101" priority="104" operator="lessThan">
      <formula>0</formula>
    </cfRule>
  </conditionalFormatting>
  <conditionalFormatting sqref="G3">
    <cfRule type="cellIs" dxfId="100" priority="103" operator="lessThan">
      <formula>0</formula>
    </cfRule>
  </conditionalFormatting>
  <conditionalFormatting sqref="AO11:AP11">
    <cfRule type="cellIs" dxfId="99" priority="101" operator="lessThan">
      <formula>0</formula>
    </cfRule>
  </conditionalFormatting>
  <conditionalFormatting sqref="AQ11:AR11">
    <cfRule type="cellIs" dxfId="98" priority="100" operator="lessThan">
      <formula>0</formula>
    </cfRule>
  </conditionalFormatting>
  <conditionalFormatting sqref="AS11:AT11">
    <cfRule type="cellIs" dxfId="97" priority="99" operator="lessThan">
      <formula>0</formula>
    </cfRule>
  </conditionalFormatting>
  <conditionalFormatting sqref="AS10:AT10">
    <cfRule type="cellIs" dxfId="96" priority="77" operator="lessThan">
      <formula>0</formula>
    </cfRule>
  </conditionalFormatting>
  <conditionalFormatting sqref="AM10:AN10">
    <cfRule type="cellIs" dxfId="95" priority="80" operator="lessThan">
      <formula>0</formula>
    </cfRule>
  </conditionalFormatting>
  <conditionalFormatting sqref="AI8">
    <cfRule type="cellIs" dxfId="94" priority="83" operator="lessThan">
      <formula>0</formula>
    </cfRule>
  </conditionalFormatting>
  <conditionalFormatting sqref="AG10:AH10">
    <cfRule type="cellIs" dxfId="93" priority="86" operator="lessThan">
      <formula>0</formula>
    </cfRule>
  </conditionalFormatting>
  <conditionalFormatting sqref="AC8">
    <cfRule type="cellIs" dxfId="92" priority="89" operator="lessThan">
      <formula>0</formula>
    </cfRule>
  </conditionalFormatting>
  <conditionalFormatting sqref="W8">
    <cfRule type="cellIs" dxfId="91" priority="92" operator="lessThan">
      <formula>0</formula>
    </cfRule>
  </conditionalFormatting>
  <conditionalFormatting sqref="BC11:BD11">
    <cfRule type="cellIs" dxfId="90" priority="94" operator="lessThan">
      <formula>0</formula>
    </cfRule>
  </conditionalFormatting>
  <conditionalFormatting sqref="AO10:AP10">
    <cfRule type="cellIs" dxfId="89" priority="79" operator="lessThan">
      <formula>0</formula>
    </cfRule>
  </conditionalFormatting>
  <conditionalFormatting sqref="AK10:AL10">
    <cfRule type="cellIs" dxfId="88" priority="82" operator="lessThan">
      <formula>0</formula>
    </cfRule>
  </conditionalFormatting>
  <conditionalFormatting sqref="AG8">
    <cfRule type="cellIs" dxfId="87" priority="85" operator="lessThan">
      <formula>0</formula>
    </cfRule>
  </conditionalFormatting>
  <conditionalFormatting sqref="AE10:AF10">
    <cfRule type="cellIs" dxfId="86" priority="88" operator="lessThan">
      <formula>0</formula>
    </cfRule>
  </conditionalFormatting>
  <conditionalFormatting sqref="Y8">
    <cfRule type="cellIs" dxfId="85" priority="91" operator="lessThan">
      <formula>0</formula>
    </cfRule>
  </conditionalFormatting>
  <conditionalFormatting sqref="AM11:AN11">
    <cfRule type="cellIs" dxfId="84" priority="102" operator="lessThan">
      <formula>0</formula>
    </cfRule>
  </conditionalFormatting>
  <conditionalFormatting sqref="O8 Q8 M8 S8 U8 M10:AD10 M9:AZ9">
    <cfRule type="cellIs" dxfId="83" priority="93" operator="lessThan">
      <formula>0</formula>
    </cfRule>
  </conditionalFormatting>
  <conditionalFormatting sqref="AA8">
    <cfRule type="cellIs" dxfId="82" priority="90" operator="lessThan">
      <formula>0</formula>
    </cfRule>
  </conditionalFormatting>
  <conditionalFormatting sqref="AE8">
    <cfRule type="cellIs" dxfId="81" priority="87" operator="lessThan">
      <formula>0</formula>
    </cfRule>
  </conditionalFormatting>
  <conditionalFormatting sqref="AU11:AV11">
    <cfRule type="cellIs" dxfId="80" priority="98" operator="lessThan">
      <formula>0</formula>
    </cfRule>
  </conditionalFormatting>
  <conditionalFormatting sqref="AK8">
    <cfRule type="cellIs" dxfId="79" priority="81" operator="lessThan">
      <formula>0</formula>
    </cfRule>
  </conditionalFormatting>
  <conditionalFormatting sqref="AW11:AX11">
    <cfRule type="cellIs" dxfId="78" priority="97" operator="lessThan">
      <formula>0</formula>
    </cfRule>
  </conditionalFormatting>
  <conditionalFormatting sqref="AQ10:AR10">
    <cfRule type="cellIs" dxfId="77" priority="78" operator="lessThan">
      <formula>0</formula>
    </cfRule>
  </conditionalFormatting>
  <conditionalFormatting sqref="AY11:AZ11">
    <cfRule type="cellIs" dxfId="76" priority="96" operator="lessThan">
      <formula>0</formula>
    </cfRule>
  </conditionalFormatting>
  <conditionalFormatting sqref="AW10:AX10">
    <cfRule type="cellIs" dxfId="75" priority="75" operator="lessThan">
      <formula>0</formula>
    </cfRule>
  </conditionalFormatting>
  <conditionalFormatting sqref="AY10:AZ10">
    <cfRule type="cellIs" dxfId="74" priority="74" operator="lessThan">
      <formula>0</formula>
    </cfRule>
  </conditionalFormatting>
  <conditionalFormatting sqref="BC9:BD9 BA9:BB10">
    <cfRule type="cellIs" dxfId="73" priority="73" operator="lessThan">
      <formula>0</formula>
    </cfRule>
  </conditionalFormatting>
  <conditionalFormatting sqref="BA11:BB11">
    <cfRule type="cellIs" dxfId="72" priority="95" operator="lessThan">
      <formula>0</formula>
    </cfRule>
  </conditionalFormatting>
  <conditionalFormatting sqref="AM8 AO8 AQ8 AS8">
    <cfRule type="cellIs" dxfId="71" priority="71" operator="lessThan">
      <formula>0</formula>
    </cfRule>
  </conditionalFormatting>
  <conditionalFormatting sqref="AU8">
    <cfRule type="cellIs" dxfId="70" priority="70" operator="lessThan">
      <formula>0</formula>
    </cfRule>
  </conditionalFormatting>
  <conditionalFormatting sqref="AY8">
    <cfRule type="cellIs" dxfId="69" priority="68" operator="lessThan">
      <formula>0</formula>
    </cfRule>
  </conditionalFormatting>
  <conditionalFormatting sqref="BA8">
    <cfRule type="cellIs" dxfId="68" priority="67" operator="lessThan">
      <formula>0</formula>
    </cfRule>
  </conditionalFormatting>
  <conditionalFormatting sqref="BC8">
    <cfRule type="cellIs" dxfId="67" priority="66" operator="lessThan">
      <formula>0</formula>
    </cfRule>
  </conditionalFormatting>
  <conditionalFormatting sqref="BE9:BF9">
    <cfRule type="cellIs" dxfId="66" priority="65" operator="lessThan">
      <formula>0</formula>
    </cfRule>
  </conditionalFormatting>
  <conditionalFormatting sqref="BE10:BF10">
    <cfRule type="cellIs" dxfId="65" priority="64" operator="lessThan">
      <formula>0</formula>
    </cfRule>
  </conditionalFormatting>
  <conditionalFormatting sqref="BE8">
    <cfRule type="cellIs" dxfId="64" priority="63" operator="lessThan">
      <formula>0</formula>
    </cfRule>
  </conditionalFormatting>
  <conditionalFormatting sqref="AI10:AJ10">
    <cfRule type="cellIs" dxfId="63" priority="84" operator="lessThan">
      <formula>0</formula>
    </cfRule>
  </conditionalFormatting>
  <conditionalFormatting sqref="AU10:AV10">
    <cfRule type="cellIs" dxfId="62" priority="76" operator="lessThan">
      <formula>0</formula>
    </cfRule>
  </conditionalFormatting>
  <conditionalFormatting sqref="BC10:BD10">
    <cfRule type="cellIs" dxfId="61" priority="72" operator="lessThan">
      <formula>0</formula>
    </cfRule>
  </conditionalFormatting>
  <conditionalFormatting sqref="AW8">
    <cfRule type="cellIs" dxfId="60" priority="69" operator="lessThan">
      <formula>0</formula>
    </cfRule>
  </conditionalFormatting>
  <conditionalFormatting sqref="BN16:BO31 BE12:BF31 BK12:BO14 BK15:BL31 K12:AL31">
    <cfRule type="cellIs" dxfId="59" priority="62" operator="lessThan">
      <formula>0</formula>
    </cfRule>
  </conditionalFormatting>
  <conditionalFormatting sqref="N12:N31 Q12:Q31 S12:S31 W12:W31 Y12:Y31">
    <cfRule type="cellIs" dxfId="58" priority="61" operator="lessThan">
      <formula>0</formula>
    </cfRule>
  </conditionalFormatting>
  <conditionalFormatting sqref="N12:N31 Q12:Q31 S12:S31 W12:W31 Y12:Y31">
    <cfRule type="cellIs" dxfId="57" priority="60" operator="lessThan">
      <formula>0</formula>
    </cfRule>
  </conditionalFormatting>
  <conditionalFormatting sqref="N12:N31 Q12:Q31 S12:S31 W12:W31 Y12:Y31">
    <cfRule type="cellIs" dxfId="56" priority="59" operator="lessThan">
      <formula>0</formula>
    </cfRule>
  </conditionalFormatting>
  <conditionalFormatting sqref="W12:W31 Y12:Y31">
    <cfRule type="cellIs" dxfId="55" priority="57" operator="lessThan">
      <formula>0</formula>
    </cfRule>
    <cfRule type="cellIs" dxfId="54" priority="58" operator="lessThan">
      <formula>0</formula>
    </cfRule>
  </conditionalFormatting>
  <conditionalFormatting sqref="N12:N31 Q12:Q31 S12:S31 W12:W31 Y12:Y31">
    <cfRule type="cellIs" dxfId="53" priority="56" operator="lessThan">
      <formula>0</formula>
    </cfRule>
  </conditionalFormatting>
  <conditionalFormatting sqref="W12:W31">
    <cfRule type="cellIs" dxfId="52" priority="54" operator="lessThan">
      <formula>0</formula>
    </cfRule>
    <cfRule type="cellIs" dxfId="51" priority="55" operator="lessThan">
      <formula>0</formula>
    </cfRule>
  </conditionalFormatting>
  <conditionalFormatting sqref="Y12:Y31">
    <cfRule type="cellIs" dxfId="50" priority="52" operator="lessThan">
      <formula>0</formula>
    </cfRule>
    <cfRule type="cellIs" dxfId="49" priority="53" operator="lessThan">
      <formula>0</formula>
    </cfRule>
  </conditionalFormatting>
  <conditionalFormatting sqref="N12:N31">
    <cfRule type="cellIs" dxfId="48" priority="51" operator="lessThan">
      <formula>0</formula>
    </cfRule>
  </conditionalFormatting>
  <conditionalFormatting sqref="BK12:BO14 BN16:BO31 BK15:BL31">
    <cfRule type="cellIs" dxfId="47" priority="50" operator="lessThan">
      <formula>0</formula>
    </cfRule>
  </conditionalFormatting>
  <conditionalFormatting sqref="AO12:AP31">
    <cfRule type="cellIs" dxfId="46" priority="48" operator="lessThan">
      <formula>0</formula>
    </cfRule>
  </conditionalFormatting>
  <conditionalFormatting sqref="AQ12:AR31">
    <cfRule type="cellIs" dxfId="45" priority="47" operator="lessThan">
      <formula>0</formula>
    </cfRule>
  </conditionalFormatting>
  <conditionalFormatting sqref="AS12:AT31">
    <cfRule type="cellIs" dxfId="44" priority="46" operator="lessThan">
      <formula>0</formula>
    </cfRule>
  </conditionalFormatting>
  <conditionalFormatting sqref="BC12:BD31">
    <cfRule type="cellIs" dxfId="43" priority="41" operator="lessThan">
      <formula>0</formula>
    </cfRule>
  </conditionalFormatting>
  <conditionalFormatting sqref="AM12:AN31">
    <cfRule type="cellIs" dxfId="42" priority="49" operator="lessThan">
      <formula>0</formula>
    </cfRule>
  </conditionalFormatting>
  <conditionalFormatting sqref="AU12:AV31">
    <cfRule type="cellIs" dxfId="41" priority="45" operator="lessThan">
      <formula>0</formula>
    </cfRule>
  </conditionalFormatting>
  <conditionalFormatting sqref="AW12:AX31">
    <cfRule type="cellIs" dxfId="40" priority="44" operator="lessThan">
      <formula>0</formula>
    </cfRule>
  </conditionalFormatting>
  <conditionalFormatting sqref="AY12:AZ31">
    <cfRule type="cellIs" dxfId="39" priority="43" operator="lessThan">
      <formula>0</formula>
    </cfRule>
  </conditionalFormatting>
  <conditionalFormatting sqref="BA12:BB31">
    <cfRule type="cellIs" dxfId="38" priority="42" operator="lessThan">
      <formula>0</formula>
    </cfRule>
  </conditionalFormatting>
  <conditionalFormatting sqref="K35:AL35 BE34:BF35 K33 M33 O33 Q33 S33 U33 W33 Y33 AA33 AC33 AE33 AG33 AI33 AK33 BE33 K34:AK34">
    <cfRule type="cellIs" dxfId="37" priority="40" operator="lessThan">
      <formula>0</formula>
    </cfRule>
  </conditionalFormatting>
  <conditionalFormatting sqref="E33:J34 BK33:BK34 D33:D35 G35:I35 BL33:JS35">
    <cfRule type="cellIs" dxfId="36" priority="39" operator="lessThan">
      <formula>0</formula>
    </cfRule>
  </conditionalFormatting>
  <conditionalFormatting sqref="G35:I35 BL35:BM35 K35:L35 N35 P35:R35 T35 V35:X35 Z35 AB35">
    <cfRule type="cellIs" dxfId="35" priority="38" operator="lessThan">
      <formula>0</formula>
    </cfRule>
  </conditionalFormatting>
  <conditionalFormatting sqref="G35:I35 K35:L35 N35 P35:R35 T35 V35:X35 Z35 AB35">
    <cfRule type="cellIs" dxfId="34" priority="37" operator="lessThan">
      <formula>0</formula>
    </cfRule>
  </conditionalFormatting>
  <conditionalFormatting sqref="G35:I35 K35:L35 N35 P35:R35 T35 V35:X35 Z35 AB35">
    <cfRule type="cellIs" dxfId="33" priority="36" operator="lessThan">
      <formula>0</formula>
    </cfRule>
  </conditionalFormatting>
  <conditionalFormatting sqref="AO34:AP35 AO33">
    <cfRule type="cellIs" dxfId="32" priority="34" operator="lessThan">
      <formula>0</formula>
    </cfRule>
  </conditionalFormatting>
  <conditionalFormatting sqref="AQ34:AR35">
    <cfRule type="cellIs" dxfId="31" priority="33" operator="lessThan">
      <formula>0</formula>
    </cfRule>
  </conditionalFormatting>
  <conditionalFormatting sqref="AS34:AT35 AS33">
    <cfRule type="cellIs" dxfId="30" priority="32" operator="lessThan">
      <formula>0</formula>
    </cfRule>
  </conditionalFormatting>
  <conditionalFormatting sqref="BC34:BD35 BC33">
    <cfRule type="cellIs" dxfId="29" priority="27" operator="lessThan">
      <formula>0</formula>
    </cfRule>
  </conditionalFormatting>
  <conditionalFormatting sqref="AM34:AN35 AM33">
    <cfRule type="cellIs" dxfId="28" priority="35" operator="lessThan">
      <formula>0</formula>
    </cfRule>
  </conditionalFormatting>
  <conditionalFormatting sqref="AU34:AV35 AU33">
    <cfRule type="cellIs" dxfId="27" priority="31" operator="lessThan">
      <formula>0</formula>
    </cfRule>
  </conditionalFormatting>
  <conditionalFormatting sqref="AW34:AX35 AW33">
    <cfRule type="cellIs" dxfId="26" priority="30" operator="lessThan">
      <formula>0</formula>
    </cfRule>
  </conditionalFormatting>
  <conditionalFormatting sqref="AY34:AZ35 AY33">
    <cfRule type="cellIs" dxfId="25" priority="29" operator="lessThan">
      <formula>0</formula>
    </cfRule>
  </conditionalFormatting>
  <conditionalFormatting sqref="BA34:BB35 BA33">
    <cfRule type="cellIs" dxfId="24" priority="28" operator="lessThan">
      <formula>0</formula>
    </cfRule>
  </conditionalFormatting>
  <conditionalFormatting sqref="AQ33">
    <cfRule type="cellIs" dxfId="23" priority="26" operator="lessThan">
      <formula>0</formula>
    </cfRule>
  </conditionalFormatting>
  <conditionalFormatting sqref="AL34">
    <cfRule type="cellIs" dxfId="22" priority="25" operator="lessThan">
      <formula>0</formula>
    </cfRule>
  </conditionalFormatting>
  <conditionalFormatting sqref="BK9:BL10 BN9:BO9">
    <cfRule type="cellIs" dxfId="21" priority="22" operator="lessThan">
      <formula>0</formula>
    </cfRule>
  </conditionalFormatting>
  <conditionalFormatting sqref="BM10:BP10">
    <cfRule type="cellIs" dxfId="20" priority="21" operator="lessThan">
      <formula>0</formula>
    </cfRule>
  </conditionalFormatting>
  <conditionalFormatting sqref="BN15:BO15">
    <cfRule type="cellIs" dxfId="19" priority="20" operator="lessThan">
      <formula>0</formula>
    </cfRule>
  </conditionalFormatting>
  <conditionalFormatting sqref="BN15:BO15">
    <cfRule type="cellIs" dxfId="18" priority="19" operator="lessThan">
      <formula>0</formula>
    </cfRule>
  </conditionalFormatting>
  <conditionalFormatting sqref="BF33 BD33 BB33 AZ33 AX33 AV33 AT33 AR33 AP33 AN33 AL33 R33 P33 N33">
    <cfRule type="cellIs" dxfId="17" priority="18" operator="lessThan">
      <formula>0</formula>
    </cfRule>
  </conditionalFormatting>
  <conditionalFormatting sqref="AJ33 L33">
    <cfRule type="cellIs" dxfId="16" priority="17" operator="lessThan">
      <formula>0</formula>
    </cfRule>
  </conditionalFormatting>
  <conditionalFormatting sqref="AH33 AF33 AD33 AB33 Z33 X33 V33 T33">
    <cfRule type="cellIs" dxfId="15" priority="16" operator="lessThan">
      <formula>0</formula>
    </cfRule>
  </conditionalFormatting>
  <conditionalFormatting sqref="BR10:BR11">
    <cfRule type="cellIs" dxfId="14" priority="15" operator="lessThan">
      <formula>0</formula>
    </cfRule>
  </conditionalFormatting>
  <conditionalFormatting sqref="BG11:BH11 BG1:BH7">
    <cfRule type="cellIs" dxfId="13" priority="14" operator="lessThan">
      <formula>0</formula>
    </cfRule>
  </conditionalFormatting>
  <conditionalFormatting sqref="BG9:BH9">
    <cfRule type="cellIs" dxfId="12" priority="13" operator="lessThan">
      <formula>0</formula>
    </cfRule>
  </conditionalFormatting>
  <conditionalFormatting sqref="BG10:BH10">
    <cfRule type="cellIs" dxfId="11" priority="12" operator="lessThan">
      <formula>0</formula>
    </cfRule>
  </conditionalFormatting>
  <conditionalFormatting sqref="BG8">
    <cfRule type="cellIs" dxfId="10" priority="11" operator="lessThan">
      <formula>0</formula>
    </cfRule>
  </conditionalFormatting>
  <conditionalFormatting sqref="BG12:BH31">
    <cfRule type="cellIs" dxfId="9" priority="10" operator="lessThan">
      <formula>0</formula>
    </cfRule>
  </conditionalFormatting>
  <conditionalFormatting sqref="BG34:BH35 BG33">
    <cfRule type="cellIs" dxfId="8" priority="9" operator="lessThan">
      <formula>0</formula>
    </cfRule>
  </conditionalFormatting>
  <conditionalFormatting sqref="BH33">
    <cfRule type="cellIs" dxfId="7" priority="8" operator="lessThan">
      <formula>0</formula>
    </cfRule>
  </conditionalFormatting>
  <conditionalFormatting sqref="BI11:BJ11 BI1:BJ7">
    <cfRule type="cellIs" dxfId="6" priority="7" operator="lessThan">
      <formula>0</formula>
    </cfRule>
  </conditionalFormatting>
  <conditionalFormatting sqref="BI9:BJ9">
    <cfRule type="cellIs" dxfId="5" priority="6" operator="lessThan">
      <formula>0</formula>
    </cfRule>
  </conditionalFormatting>
  <conditionalFormatting sqref="BI10:BJ10">
    <cfRule type="cellIs" dxfId="4" priority="5" operator="lessThan">
      <formula>0</formula>
    </cfRule>
  </conditionalFormatting>
  <conditionalFormatting sqref="BI8">
    <cfRule type="cellIs" dxfId="3" priority="4" operator="lessThan">
      <formula>0</formula>
    </cfRule>
  </conditionalFormatting>
  <conditionalFormatting sqref="BI12:BJ31">
    <cfRule type="cellIs" dxfId="2" priority="3" operator="lessThan">
      <formula>0</formula>
    </cfRule>
  </conditionalFormatting>
  <conditionalFormatting sqref="BI34:BJ35 BI33">
    <cfRule type="cellIs" dxfId="1" priority="2" operator="lessThan">
      <formula>0</formula>
    </cfRule>
  </conditionalFormatting>
  <conditionalFormatting sqref="BJ33">
    <cfRule type="cellIs" dxfId="0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1" fitToHeight="0" orientation="landscape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W90"/>
  <sheetViews>
    <sheetView showGridLines="0" view="pageBreakPreview" zoomScale="85" zoomScaleNormal="85" zoomScaleSheetLayoutView="85" workbookViewId="0">
      <selection activeCell="F6" sqref="F6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13.5" style="8" customWidth="1"/>
    <col min="12" max="12" width="16" style="8" customWidth="1"/>
    <col min="13" max="13" width="22.5" style="8" bestFit="1" customWidth="1"/>
    <col min="14" max="14" width="13.5" style="8" customWidth="1"/>
    <col min="15" max="15" width="15.6640625" style="8" customWidth="1"/>
    <col min="16" max="16" width="21" style="8" bestFit="1" customWidth="1"/>
    <col min="17" max="32" width="13.5" style="8" customWidth="1"/>
    <col min="33" max="16384" width="9.33203125" style="8"/>
  </cols>
  <sheetData>
    <row r="1" spans="2:23" ht="18.95" customHeight="1" x14ac:dyDescent="0.2">
      <c r="F1" s="11"/>
      <c r="G1" s="89"/>
      <c r="H1" s="88"/>
      <c r="I1" s="8"/>
      <c r="J1" s="9"/>
    </row>
    <row r="2" spans="2:23" s="88" customFormat="1" ht="18" customHeight="1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</row>
    <row r="3" spans="2:23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23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23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23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23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23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A2 - Stoka A2</v>
      </c>
      <c r="M8" s="150"/>
      <c r="O8" s="151"/>
    </row>
    <row r="9" spans="2:23" s="15" customFormat="1" ht="20.100000000000001" customHeight="1" x14ac:dyDescent="0.2">
      <c r="C9" s="174"/>
      <c r="D9" s="176"/>
      <c r="E9" s="176"/>
      <c r="F9" s="176"/>
      <c r="G9" s="176"/>
      <c r="H9" s="176"/>
      <c r="I9" s="177"/>
      <c r="J9" s="178"/>
      <c r="K9" s="339" t="s">
        <v>1214</v>
      </c>
      <c r="L9" s="339"/>
      <c r="M9" s="340"/>
      <c r="N9" s="341" t="s">
        <v>1215</v>
      </c>
      <c r="O9" s="341"/>
      <c r="P9" s="342"/>
    </row>
    <row r="10" spans="2:23" s="15" customFormat="1" ht="24" customHeight="1" x14ac:dyDescent="0.2">
      <c r="C10" s="16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189" t="s">
        <v>935</v>
      </c>
      <c r="S10" s="189" t="s">
        <v>961</v>
      </c>
    </row>
    <row r="11" spans="2:23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23" s="121" customFormat="1" ht="22.9" customHeight="1" x14ac:dyDescent="0.25">
      <c r="B12" s="120"/>
      <c r="C12" s="152" t="s">
        <v>418</v>
      </c>
      <c r="D12" s="120"/>
      <c r="E12" s="120"/>
      <c r="F12" s="120"/>
      <c r="G12" s="120"/>
      <c r="H12" s="120"/>
      <c r="I12" s="153"/>
      <c r="J12" s="154">
        <f>+SUBTOTAL(9,J13:J85)</f>
        <v>845411.10000000021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23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+SUBTOTAL(9,J14:J85)</f>
        <v>845411.10000000021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23" s="170" customFormat="1" ht="56.25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+SUBTOTAL(9,J15:J36)</f>
        <v>452916.8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SUM(M15:M36)</f>
        <v>-1774.8480999999997</v>
      </c>
      <c r="N14" s="278" t="str">
        <f>IF(ISBLANK(H14),"",H14-K14)</f>
        <v/>
      </c>
      <c r="O14" s="272" t="str">
        <f>IF(ISBLANK(H14),"",J14-L14)</f>
        <v/>
      </c>
      <c r="P14" s="272">
        <f>SUM(P15:P36)</f>
        <v>451141.77909999993</v>
      </c>
      <c r="Q14" s="218" t="s">
        <v>1216</v>
      </c>
      <c r="R14" s="187"/>
      <c r="S14" s="187"/>
      <c r="T14" s="187"/>
      <c r="U14" s="187"/>
      <c r="V14" s="187"/>
      <c r="W14" s="187"/>
    </row>
    <row r="15" spans="2:23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1.65</v>
      </c>
      <c r="I15" s="61">
        <v>40.770000000000003</v>
      </c>
      <c r="J15" s="60">
        <v>67.3</v>
      </c>
      <c r="K15" s="68">
        <f>ROUND(108.8/109.2*Q15-Q15,2)</f>
        <v>-0.01</v>
      </c>
      <c r="L15" s="69">
        <f>I15</f>
        <v>40.770000000000003</v>
      </c>
      <c r="M15" s="273">
        <f>K15*L15</f>
        <v>-0.40770000000000006</v>
      </c>
      <c r="N15" s="71">
        <f>H15+K15</f>
        <v>1.64</v>
      </c>
      <c r="O15" s="72">
        <f>I15</f>
        <v>40.770000000000003</v>
      </c>
      <c r="P15" s="274">
        <f>N15*O15</f>
        <v>66.862800000000007</v>
      </c>
      <c r="Q15" s="237">
        <f>ROUND(109.2/101.9*H15,2)</f>
        <v>1.77</v>
      </c>
      <c r="R15" s="185"/>
      <c r="S15" s="185"/>
      <c r="T15" s="185"/>
      <c r="U15" s="185"/>
      <c r="V15" s="185"/>
      <c r="W15" s="185"/>
    </row>
    <row r="16" spans="2:23" s="121" customFormat="1" ht="16.5" customHeight="1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3.15</v>
      </c>
      <c r="I16" s="61">
        <v>55.24</v>
      </c>
      <c r="J16" s="60">
        <v>174</v>
      </c>
      <c r="K16" s="68">
        <v>0</v>
      </c>
      <c r="L16" s="69">
        <f t="shared" ref="L16:L79" si="0">I16</f>
        <v>55.24</v>
      </c>
      <c r="M16" s="273">
        <f t="shared" ref="M16:M79" si="1">K16*L16</f>
        <v>0</v>
      </c>
      <c r="N16" s="71">
        <f t="shared" ref="N16:N79" si="2">H16+K16</f>
        <v>3.15</v>
      </c>
      <c r="O16" s="72">
        <f t="shared" ref="O16:O79" si="3">I16</f>
        <v>55.24</v>
      </c>
      <c r="P16" s="274">
        <f t="shared" ref="P16:P79" si="4">N16*O16</f>
        <v>174.006</v>
      </c>
      <c r="Q16" s="237">
        <f t="shared" ref="Q16:Q79" si="5">ROUND(109.2/101.9*H16,2)</f>
        <v>3.38</v>
      </c>
      <c r="R16" s="185"/>
      <c r="S16" s="185"/>
      <c r="T16" s="185"/>
      <c r="U16" s="185"/>
      <c r="V16" s="185"/>
      <c r="W16" s="185"/>
    </row>
    <row r="17" spans="2:23" s="121" customFormat="1" ht="16.5" customHeight="1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1.65</v>
      </c>
      <c r="I17" s="61">
        <v>98.64</v>
      </c>
      <c r="J17" s="60">
        <v>162.80000000000001</v>
      </c>
      <c r="K17" s="68">
        <v>0</v>
      </c>
      <c r="L17" s="69">
        <f t="shared" si="0"/>
        <v>98.64</v>
      </c>
      <c r="M17" s="273">
        <f t="shared" si="1"/>
        <v>0</v>
      </c>
      <c r="N17" s="71">
        <f t="shared" si="2"/>
        <v>1.65</v>
      </c>
      <c r="O17" s="72">
        <f t="shared" si="3"/>
        <v>98.64</v>
      </c>
      <c r="P17" s="274">
        <f t="shared" si="4"/>
        <v>162.756</v>
      </c>
      <c r="Q17" s="237">
        <f t="shared" si="5"/>
        <v>1.77</v>
      </c>
      <c r="R17" s="185"/>
      <c r="S17" s="185"/>
      <c r="T17" s="185"/>
      <c r="U17" s="185"/>
      <c r="V17" s="185"/>
      <c r="W17" s="185"/>
    </row>
    <row r="18" spans="2:23" s="121" customFormat="1" ht="16.5" customHeight="1" x14ac:dyDescent="0.2">
      <c r="B18" s="120"/>
      <c r="C18" s="56" t="s">
        <v>105</v>
      </c>
      <c r="D18" s="56" t="s">
        <v>96</v>
      </c>
      <c r="E18" s="57" t="s">
        <v>142</v>
      </c>
      <c r="F18" s="58" t="s">
        <v>143</v>
      </c>
      <c r="G18" s="59" t="s">
        <v>133</v>
      </c>
      <c r="H18" s="60">
        <v>2.2000000000000002</v>
      </c>
      <c r="I18" s="61">
        <v>170.98</v>
      </c>
      <c r="J18" s="60">
        <v>376.2</v>
      </c>
      <c r="K18" s="68">
        <f>ROUND(108.8/109.2*Q18-Q18,2)</f>
        <v>-0.01</v>
      </c>
      <c r="L18" s="69">
        <f t="shared" si="0"/>
        <v>170.98</v>
      </c>
      <c r="M18" s="273">
        <f t="shared" si="1"/>
        <v>-1.7098</v>
      </c>
      <c r="N18" s="71">
        <f t="shared" si="2"/>
        <v>2.1900000000000004</v>
      </c>
      <c r="O18" s="72">
        <f t="shared" si="3"/>
        <v>170.98</v>
      </c>
      <c r="P18" s="274">
        <f t="shared" si="4"/>
        <v>374.44620000000003</v>
      </c>
      <c r="Q18" s="237">
        <f t="shared" si="5"/>
        <v>2.36</v>
      </c>
      <c r="R18" s="185"/>
      <c r="S18" s="185"/>
      <c r="T18" s="185"/>
      <c r="U18" s="185"/>
      <c r="V18" s="185"/>
      <c r="W18" s="185"/>
    </row>
    <row r="19" spans="2:23" s="121" customFormat="1" ht="16.5" customHeight="1" x14ac:dyDescent="0.2">
      <c r="B19" s="120"/>
      <c r="C19" s="56" t="s">
        <v>109</v>
      </c>
      <c r="D19" s="56" t="s">
        <v>96</v>
      </c>
      <c r="E19" s="57" t="s">
        <v>148</v>
      </c>
      <c r="F19" s="58" t="s">
        <v>149</v>
      </c>
      <c r="G19" s="59" t="s">
        <v>150</v>
      </c>
      <c r="H19" s="60">
        <v>47.39</v>
      </c>
      <c r="I19" s="61">
        <v>38.14</v>
      </c>
      <c r="J19" s="60">
        <v>1807.5</v>
      </c>
      <c r="K19" s="68">
        <f t="shared" ref="K19:K39" si="6">ROUND(108.8/109.2*Q19-Q19,2)</f>
        <v>-0.19</v>
      </c>
      <c r="L19" s="69">
        <f t="shared" si="0"/>
        <v>38.14</v>
      </c>
      <c r="M19" s="273">
        <f t="shared" si="1"/>
        <v>-7.2465999999999999</v>
      </c>
      <c r="N19" s="71">
        <f t="shared" si="2"/>
        <v>47.2</v>
      </c>
      <c r="O19" s="72">
        <f t="shared" si="3"/>
        <v>38.14</v>
      </c>
      <c r="P19" s="274">
        <f t="shared" si="4"/>
        <v>1800.2080000000001</v>
      </c>
      <c r="Q19" s="237">
        <f t="shared" si="5"/>
        <v>50.78</v>
      </c>
      <c r="R19" s="185"/>
      <c r="S19" s="185"/>
      <c r="T19" s="185"/>
      <c r="U19" s="185"/>
      <c r="V19" s="185"/>
      <c r="W19" s="185"/>
    </row>
    <row r="20" spans="2:23" s="121" customFormat="1" ht="16.5" customHeight="1" x14ac:dyDescent="0.2">
      <c r="B20" s="120"/>
      <c r="C20" s="56" t="s">
        <v>112</v>
      </c>
      <c r="D20" s="56" t="s">
        <v>96</v>
      </c>
      <c r="E20" s="57" t="s">
        <v>155</v>
      </c>
      <c r="F20" s="58" t="s">
        <v>156</v>
      </c>
      <c r="G20" s="59" t="s">
        <v>150</v>
      </c>
      <c r="H20" s="60">
        <v>14.45</v>
      </c>
      <c r="I20" s="61">
        <v>257.77999999999997</v>
      </c>
      <c r="J20" s="60">
        <v>3724.9</v>
      </c>
      <c r="K20" s="68">
        <f t="shared" si="6"/>
        <v>-0.06</v>
      </c>
      <c r="L20" s="69">
        <f t="shared" si="0"/>
        <v>257.77999999999997</v>
      </c>
      <c r="M20" s="273">
        <f t="shared" si="1"/>
        <v>-15.466799999999997</v>
      </c>
      <c r="N20" s="71">
        <f t="shared" si="2"/>
        <v>14.389999999999999</v>
      </c>
      <c r="O20" s="72">
        <f t="shared" si="3"/>
        <v>257.77999999999997</v>
      </c>
      <c r="P20" s="274">
        <f t="shared" si="4"/>
        <v>3709.4541999999992</v>
      </c>
      <c r="Q20" s="237">
        <f t="shared" si="5"/>
        <v>15.49</v>
      </c>
      <c r="R20" s="185"/>
      <c r="S20" s="185"/>
      <c r="T20" s="185"/>
      <c r="U20" s="185"/>
      <c r="V20" s="185"/>
      <c r="W20" s="185"/>
    </row>
    <row r="21" spans="2:23" s="121" customFormat="1" ht="16.5" customHeight="1" x14ac:dyDescent="0.2">
      <c r="B21" s="120"/>
      <c r="C21" s="56" t="s">
        <v>115</v>
      </c>
      <c r="D21" s="56" t="s">
        <v>96</v>
      </c>
      <c r="E21" s="57" t="s">
        <v>157</v>
      </c>
      <c r="F21" s="58" t="s">
        <v>158</v>
      </c>
      <c r="G21" s="59" t="s">
        <v>150</v>
      </c>
      <c r="H21" s="60">
        <v>95.09</v>
      </c>
      <c r="I21" s="61">
        <v>257.77999999999997</v>
      </c>
      <c r="J21" s="60">
        <v>24512.3</v>
      </c>
      <c r="K21" s="68">
        <f t="shared" si="6"/>
        <v>-0.37</v>
      </c>
      <c r="L21" s="69">
        <f t="shared" si="0"/>
        <v>257.77999999999997</v>
      </c>
      <c r="M21" s="273">
        <f t="shared" si="1"/>
        <v>-95.378599999999992</v>
      </c>
      <c r="N21" s="71">
        <f t="shared" si="2"/>
        <v>94.72</v>
      </c>
      <c r="O21" s="72">
        <f t="shared" si="3"/>
        <v>257.77999999999997</v>
      </c>
      <c r="P21" s="274">
        <f t="shared" si="4"/>
        <v>24416.921599999998</v>
      </c>
      <c r="Q21" s="237">
        <f t="shared" si="5"/>
        <v>101.9</v>
      </c>
      <c r="R21" s="185"/>
      <c r="S21" s="185"/>
      <c r="T21" s="185"/>
      <c r="U21" s="185"/>
      <c r="V21" s="185"/>
      <c r="W21" s="185"/>
    </row>
    <row r="22" spans="2:23" s="121" customFormat="1" ht="16.5" customHeight="1" x14ac:dyDescent="0.2">
      <c r="B22" s="120"/>
      <c r="C22" s="56" t="s">
        <v>118</v>
      </c>
      <c r="D22" s="56" t="s">
        <v>96</v>
      </c>
      <c r="E22" s="57" t="s">
        <v>160</v>
      </c>
      <c r="F22" s="58" t="s">
        <v>161</v>
      </c>
      <c r="G22" s="59" t="s">
        <v>150</v>
      </c>
      <c r="H22" s="60">
        <v>28.53</v>
      </c>
      <c r="I22" s="61">
        <v>13.15</v>
      </c>
      <c r="J22" s="60">
        <v>375.2</v>
      </c>
      <c r="K22" s="68">
        <f t="shared" si="6"/>
        <v>-0.11</v>
      </c>
      <c r="L22" s="69">
        <f t="shared" si="0"/>
        <v>13.15</v>
      </c>
      <c r="M22" s="273">
        <f t="shared" si="1"/>
        <v>-1.4465000000000001</v>
      </c>
      <c r="N22" s="71">
        <f t="shared" si="2"/>
        <v>28.42</v>
      </c>
      <c r="O22" s="72">
        <f t="shared" si="3"/>
        <v>13.15</v>
      </c>
      <c r="P22" s="274">
        <f t="shared" si="4"/>
        <v>373.72300000000001</v>
      </c>
      <c r="Q22" s="237">
        <f t="shared" si="5"/>
        <v>30.57</v>
      </c>
      <c r="R22" s="185"/>
      <c r="S22" s="185"/>
      <c r="T22" s="185"/>
      <c r="U22" s="185"/>
      <c r="V22" s="185"/>
      <c r="W22" s="185"/>
    </row>
    <row r="23" spans="2:23" s="121" customFormat="1" ht="16.5" customHeight="1" x14ac:dyDescent="0.2">
      <c r="B23" s="120"/>
      <c r="C23" s="56" t="s">
        <v>121</v>
      </c>
      <c r="D23" s="56" t="s">
        <v>96</v>
      </c>
      <c r="E23" s="57" t="s">
        <v>163</v>
      </c>
      <c r="F23" s="58" t="s">
        <v>164</v>
      </c>
      <c r="G23" s="59" t="s">
        <v>150</v>
      </c>
      <c r="H23" s="60">
        <v>142.63999999999999</v>
      </c>
      <c r="I23" s="61">
        <v>315.64999999999998</v>
      </c>
      <c r="J23" s="60">
        <v>45024.3</v>
      </c>
      <c r="K23" s="68">
        <f t="shared" si="6"/>
        <v>-0.56000000000000005</v>
      </c>
      <c r="L23" s="69">
        <f t="shared" si="0"/>
        <v>315.64999999999998</v>
      </c>
      <c r="M23" s="273">
        <f t="shared" si="1"/>
        <v>-176.76400000000001</v>
      </c>
      <c r="N23" s="71">
        <f t="shared" si="2"/>
        <v>142.07999999999998</v>
      </c>
      <c r="O23" s="72">
        <f t="shared" si="3"/>
        <v>315.64999999999998</v>
      </c>
      <c r="P23" s="274">
        <f t="shared" si="4"/>
        <v>44847.551999999989</v>
      </c>
      <c r="Q23" s="237">
        <f t="shared" si="5"/>
        <v>152.86000000000001</v>
      </c>
      <c r="R23" s="185"/>
      <c r="S23" s="185"/>
      <c r="T23" s="185"/>
      <c r="U23" s="185"/>
      <c r="V23" s="185"/>
      <c r="W23" s="185"/>
    </row>
    <row r="24" spans="2:23" s="121" customFormat="1" ht="16.5" customHeight="1" x14ac:dyDescent="0.2">
      <c r="B24" s="120"/>
      <c r="C24" s="56" t="s">
        <v>124</v>
      </c>
      <c r="D24" s="56" t="s">
        <v>96</v>
      </c>
      <c r="E24" s="57" t="s">
        <v>166</v>
      </c>
      <c r="F24" s="58" t="s">
        <v>167</v>
      </c>
      <c r="G24" s="59" t="s">
        <v>150</v>
      </c>
      <c r="H24" s="60">
        <v>42.79</v>
      </c>
      <c r="I24" s="61">
        <v>15.78</v>
      </c>
      <c r="J24" s="60">
        <v>675.2</v>
      </c>
      <c r="K24" s="68">
        <f t="shared" si="6"/>
        <v>-0.17</v>
      </c>
      <c r="L24" s="69">
        <f t="shared" si="0"/>
        <v>15.78</v>
      </c>
      <c r="M24" s="273">
        <f t="shared" si="1"/>
        <v>-2.6825999999999999</v>
      </c>
      <c r="N24" s="71">
        <f t="shared" si="2"/>
        <v>42.62</v>
      </c>
      <c r="O24" s="72">
        <f t="shared" si="3"/>
        <v>15.78</v>
      </c>
      <c r="P24" s="274">
        <f t="shared" si="4"/>
        <v>672.54359999999997</v>
      </c>
      <c r="Q24" s="237">
        <f t="shared" si="5"/>
        <v>45.86</v>
      </c>
      <c r="R24" s="185"/>
      <c r="S24" s="185"/>
      <c r="T24" s="185"/>
      <c r="U24" s="185"/>
      <c r="V24" s="185"/>
      <c r="W24" s="185"/>
    </row>
    <row r="25" spans="2:23" s="121" customFormat="1" ht="16.5" customHeight="1" x14ac:dyDescent="0.2">
      <c r="B25" s="120"/>
      <c r="C25" s="56" t="s">
        <v>127</v>
      </c>
      <c r="D25" s="56" t="s">
        <v>96</v>
      </c>
      <c r="E25" s="57" t="s">
        <v>172</v>
      </c>
      <c r="F25" s="58" t="s">
        <v>173</v>
      </c>
      <c r="G25" s="59" t="s">
        <v>150</v>
      </c>
      <c r="H25" s="60">
        <v>53.96</v>
      </c>
      <c r="I25" s="61">
        <v>1116.6199999999999</v>
      </c>
      <c r="J25" s="60">
        <v>60252.800000000003</v>
      </c>
      <c r="K25" s="68">
        <f t="shared" si="6"/>
        <v>-0.21</v>
      </c>
      <c r="L25" s="69">
        <f t="shared" si="0"/>
        <v>1116.6199999999999</v>
      </c>
      <c r="M25" s="273">
        <f t="shared" si="1"/>
        <v>-234.49019999999996</v>
      </c>
      <c r="N25" s="71">
        <f t="shared" si="2"/>
        <v>53.75</v>
      </c>
      <c r="O25" s="72">
        <f t="shared" si="3"/>
        <v>1116.6199999999999</v>
      </c>
      <c r="P25" s="274">
        <f t="shared" si="4"/>
        <v>60018.324999999997</v>
      </c>
      <c r="Q25" s="237">
        <f t="shared" si="5"/>
        <v>57.83</v>
      </c>
      <c r="R25" s="185"/>
      <c r="S25" s="185"/>
      <c r="T25" s="185"/>
      <c r="U25" s="185"/>
      <c r="V25" s="185"/>
      <c r="W25" s="185"/>
    </row>
    <row r="26" spans="2:23" s="121" customFormat="1" ht="16.5" customHeight="1" x14ac:dyDescent="0.2">
      <c r="B26" s="120"/>
      <c r="C26" s="56" t="s">
        <v>130</v>
      </c>
      <c r="D26" s="56" t="s">
        <v>96</v>
      </c>
      <c r="E26" s="57" t="s">
        <v>175</v>
      </c>
      <c r="F26" s="58" t="s">
        <v>176</v>
      </c>
      <c r="G26" s="59" t="s">
        <v>108</v>
      </c>
      <c r="H26" s="60">
        <v>568.66999999999996</v>
      </c>
      <c r="I26" s="61">
        <v>99.96</v>
      </c>
      <c r="J26" s="60">
        <v>56844.3</v>
      </c>
      <c r="K26" s="68">
        <f t="shared" si="6"/>
        <v>-2.23</v>
      </c>
      <c r="L26" s="69">
        <f t="shared" si="0"/>
        <v>99.96</v>
      </c>
      <c r="M26" s="273">
        <f t="shared" si="1"/>
        <v>-222.91079999999999</v>
      </c>
      <c r="N26" s="71">
        <f t="shared" si="2"/>
        <v>566.43999999999994</v>
      </c>
      <c r="O26" s="72">
        <f t="shared" si="3"/>
        <v>99.96</v>
      </c>
      <c r="P26" s="274">
        <f t="shared" si="4"/>
        <v>56621.342399999994</v>
      </c>
      <c r="Q26" s="237">
        <f t="shared" si="5"/>
        <v>609.41</v>
      </c>
      <c r="R26" s="185"/>
      <c r="S26" s="185"/>
      <c r="T26" s="185"/>
      <c r="U26" s="185"/>
      <c r="V26" s="185"/>
      <c r="W26" s="185"/>
    </row>
    <row r="27" spans="2:23" s="121" customFormat="1" ht="16.5" customHeight="1" x14ac:dyDescent="0.2">
      <c r="B27" s="120"/>
      <c r="C27" s="56" t="s">
        <v>134</v>
      </c>
      <c r="D27" s="56" t="s">
        <v>96</v>
      </c>
      <c r="E27" s="57" t="s">
        <v>181</v>
      </c>
      <c r="F27" s="58" t="s">
        <v>182</v>
      </c>
      <c r="G27" s="59" t="s">
        <v>108</v>
      </c>
      <c r="H27" s="60">
        <v>568.66999999999996</v>
      </c>
      <c r="I27" s="61">
        <v>149.94</v>
      </c>
      <c r="J27" s="60">
        <v>85266.4</v>
      </c>
      <c r="K27" s="68">
        <f t="shared" si="6"/>
        <v>-2.23</v>
      </c>
      <c r="L27" s="69">
        <f t="shared" si="0"/>
        <v>149.94</v>
      </c>
      <c r="M27" s="273">
        <f t="shared" si="1"/>
        <v>-334.36619999999999</v>
      </c>
      <c r="N27" s="71">
        <f t="shared" si="2"/>
        <v>566.43999999999994</v>
      </c>
      <c r="O27" s="72">
        <f t="shared" si="3"/>
        <v>149.94</v>
      </c>
      <c r="P27" s="274">
        <f t="shared" si="4"/>
        <v>84932.013599999991</v>
      </c>
      <c r="Q27" s="237">
        <f t="shared" si="5"/>
        <v>609.41</v>
      </c>
      <c r="R27" s="185"/>
      <c r="S27" s="185"/>
      <c r="T27" s="185"/>
      <c r="U27" s="185"/>
      <c r="V27" s="185"/>
      <c r="W27" s="185"/>
    </row>
    <row r="28" spans="2:23" s="121" customFormat="1" ht="16.5" customHeight="1" x14ac:dyDescent="0.2">
      <c r="B28" s="120"/>
      <c r="C28" s="56" t="s">
        <v>2</v>
      </c>
      <c r="D28" s="56" t="s">
        <v>96</v>
      </c>
      <c r="E28" s="57" t="s">
        <v>187</v>
      </c>
      <c r="F28" s="58" t="s">
        <v>188</v>
      </c>
      <c r="G28" s="59" t="s">
        <v>150</v>
      </c>
      <c r="H28" s="60">
        <v>488.75</v>
      </c>
      <c r="I28" s="61">
        <v>98.26</v>
      </c>
      <c r="J28" s="60">
        <v>48024.6</v>
      </c>
      <c r="K28" s="68">
        <f t="shared" si="6"/>
        <v>-1.92</v>
      </c>
      <c r="L28" s="69">
        <f t="shared" si="0"/>
        <v>98.26</v>
      </c>
      <c r="M28" s="273">
        <f t="shared" si="1"/>
        <v>-188.6592</v>
      </c>
      <c r="N28" s="71">
        <f t="shared" si="2"/>
        <v>486.83</v>
      </c>
      <c r="O28" s="72">
        <f t="shared" si="3"/>
        <v>98.26</v>
      </c>
      <c r="P28" s="274">
        <f t="shared" si="4"/>
        <v>47835.915800000002</v>
      </c>
      <c r="Q28" s="237">
        <f t="shared" si="5"/>
        <v>523.76</v>
      </c>
      <c r="R28" s="185"/>
      <c r="S28" s="185"/>
      <c r="T28" s="185"/>
      <c r="U28" s="185"/>
      <c r="V28" s="185"/>
      <c r="W28" s="185"/>
    </row>
    <row r="29" spans="2:23" s="121" customFormat="1" ht="20.25" customHeight="1" x14ac:dyDescent="0.2">
      <c r="B29" s="120"/>
      <c r="C29" s="56" t="s">
        <v>141</v>
      </c>
      <c r="D29" s="56" t="s">
        <v>96</v>
      </c>
      <c r="E29" s="57" t="s">
        <v>190</v>
      </c>
      <c r="F29" s="58" t="s">
        <v>191</v>
      </c>
      <c r="G29" s="59" t="s">
        <v>150</v>
      </c>
      <c r="H29" s="60">
        <v>93.9</v>
      </c>
      <c r="I29" s="61">
        <v>247.39</v>
      </c>
      <c r="J29" s="60">
        <v>23229.9</v>
      </c>
      <c r="K29" s="68">
        <f t="shared" si="6"/>
        <v>-0.37</v>
      </c>
      <c r="L29" s="69">
        <f t="shared" si="0"/>
        <v>247.39</v>
      </c>
      <c r="M29" s="273">
        <f t="shared" si="1"/>
        <v>-91.534299999999988</v>
      </c>
      <c r="N29" s="71">
        <f t="shared" si="2"/>
        <v>93.53</v>
      </c>
      <c r="O29" s="72">
        <f t="shared" si="3"/>
        <v>247.39</v>
      </c>
      <c r="P29" s="274">
        <f t="shared" si="4"/>
        <v>23138.386699999999</v>
      </c>
      <c r="Q29" s="237">
        <f t="shared" si="5"/>
        <v>100.63</v>
      </c>
      <c r="R29" s="188" t="s">
        <v>950</v>
      </c>
      <c r="S29" s="190" t="s">
        <v>960</v>
      </c>
      <c r="T29" s="185"/>
      <c r="U29" s="185"/>
      <c r="V29" s="185"/>
      <c r="W29" s="185"/>
    </row>
    <row r="30" spans="2:23" s="121" customFormat="1" ht="20.25" customHeight="1" x14ac:dyDescent="0.2">
      <c r="B30" s="120"/>
      <c r="C30" s="56" t="s">
        <v>144</v>
      </c>
      <c r="D30" s="56" t="s">
        <v>96</v>
      </c>
      <c r="E30" s="57" t="s">
        <v>193</v>
      </c>
      <c r="F30" s="58" t="s">
        <v>194</v>
      </c>
      <c r="G30" s="59" t="s">
        <v>150</v>
      </c>
      <c r="H30" s="60">
        <v>93.9</v>
      </c>
      <c r="I30" s="61">
        <v>44.72</v>
      </c>
      <c r="J30" s="60">
        <v>4199.2</v>
      </c>
      <c r="K30" s="68">
        <f t="shared" si="6"/>
        <v>-0.37</v>
      </c>
      <c r="L30" s="69">
        <f t="shared" si="0"/>
        <v>44.72</v>
      </c>
      <c r="M30" s="273">
        <f t="shared" si="1"/>
        <v>-16.546399999999998</v>
      </c>
      <c r="N30" s="71">
        <f t="shared" si="2"/>
        <v>93.53</v>
      </c>
      <c r="O30" s="72">
        <f t="shared" si="3"/>
        <v>44.72</v>
      </c>
      <c r="P30" s="274">
        <f t="shared" si="4"/>
        <v>4182.6616000000004</v>
      </c>
      <c r="Q30" s="237">
        <f t="shared" si="5"/>
        <v>100.63</v>
      </c>
      <c r="R30" s="188" t="s">
        <v>950</v>
      </c>
      <c r="S30" s="190" t="s">
        <v>960</v>
      </c>
      <c r="T30" s="185"/>
      <c r="U30" s="185"/>
      <c r="V30" s="185"/>
      <c r="W30" s="185"/>
    </row>
    <row r="31" spans="2:23" s="121" customFormat="1" ht="23.25" customHeight="1" x14ac:dyDescent="0.2">
      <c r="B31" s="120"/>
      <c r="C31" s="56" t="s">
        <v>147</v>
      </c>
      <c r="D31" s="56" t="s">
        <v>96</v>
      </c>
      <c r="E31" s="57" t="s">
        <v>196</v>
      </c>
      <c r="F31" s="58" t="s">
        <v>197</v>
      </c>
      <c r="G31" s="59" t="s">
        <v>150</v>
      </c>
      <c r="H31" s="60">
        <v>93.9</v>
      </c>
      <c r="I31" s="61">
        <v>11.84</v>
      </c>
      <c r="J31" s="60">
        <v>1111.8</v>
      </c>
      <c r="K31" s="68">
        <f t="shared" si="6"/>
        <v>-0.37</v>
      </c>
      <c r="L31" s="69">
        <f t="shared" si="0"/>
        <v>11.84</v>
      </c>
      <c r="M31" s="273">
        <f t="shared" si="1"/>
        <v>-4.3807999999999998</v>
      </c>
      <c r="N31" s="71">
        <f t="shared" si="2"/>
        <v>93.53</v>
      </c>
      <c r="O31" s="72">
        <f t="shared" si="3"/>
        <v>11.84</v>
      </c>
      <c r="P31" s="274">
        <f t="shared" si="4"/>
        <v>1107.3951999999999</v>
      </c>
      <c r="Q31" s="237">
        <f t="shared" si="5"/>
        <v>100.63</v>
      </c>
      <c r="R31" s="188" t="s">
        <v>950</v>
      </c>
      <c r="S31" s="190" t="s">
        <v>960</v>
      </c>
      <c r="T31" s="185"/>
      <c r="U31" s="185"/>
      <c r="V31" s="185"/>
      <c r="W31" s="185"/>
    </row>
    <row r="32" spans="2:23" s="121" customFormat="1" ht="16.5" customHeight="1" x14ac:dyDescent="0.2">
      <c r="B32" s="120"/>
      <c r="C32" s="56" t="s">
        <v>151</v>
      </c>
      <c r="D32" s="56" t="s">
        <v>96</v>
      </c>
      <c r="E32" s="57" t="s">
        <v>199</v>
      </c>
      <c r="F32" s="58" t="s">
        <v>200</v>
      </c>
      <c r="G32" s="59" t="s">
        <v>201</v>
      </c>
      <c r="H32" s="60">
        <v>187.8</v>
      </c>
      <c r="I32" s="61">
        <v>116</v>
      </c>
      <c r="J32" s="60">
        <v>21784.799999999999</v>
      </c>
      <c r="K32" s="68">
        <f t="shared" si="6"/>
        <v>-0.74</v>
      </c>
      <c r="L32" s="69">
        <f t="shared" si="0"/>
        <v>116</v>
      </c>
      <c r="M32" s="273">
        <f t="shared" si="1"/>
        <v>-85.84</v>
      </c>
      <c r="N32" s="71">
        <f t="shared" si="2"/>
        <v>187.06</v>
      </c>
      <c r="O32" s="72">
        <f t="shared" si="3"/>
        <v>116</v>
      </c>
      <c r="P32" s="274">
        <f t="shared" si="4"/>
        <v>21698.959999999999</v>
      </c>
      <c r="Q32" s="237">
        <f t="shared" si="5"/>
        <v>201.25</v>
      </c>
      <c r="R32" s="185"/>
      <c r="S32" s="185"/>
      <c r="T32" s="185"/>
      <c r="U32" s="185"/>
      <c r="V32" s="185"/>
      <c r="W32" s="185"/>
    </row>
    <row r="33" spans="2:23" s="121" customFormat="1" ht="16.5" customHeight="1" x14ac:dyDescent="0.2">
      <c r="B33" s="120"/>
      <c r="C33" s="56" t="s">
        <v>154</v>
      </c>
      <c r="D33" s="56" t="s">
        <v>96</v>
      </c>
      <c r="E33" s="57" t="s">
        <v>203</v>
      </c>
      <c r="F33" s="58" t="s">
        <v>204</v>
      </c>
      <c r="G33" s="59" t="s">
        <v>150</v>
      </c>
      <c r="H33" s="60">
        <v>197.06</v>
      </c>
      <c r="I33" s="61">
        <v>143.36000000000001</v>
      </c>
      <c r="J33" s="60">
        <v>28250.5</v>
      </c>
      <c r="K33" s="68">
        <f t="shared" si="6"/>
        <v>-0.77</v>
      </c>
      <c r="L33" s="69">
        <f t="shared" si="0"/>
        <v>143.36000000000001</v>
      </c>
      <c r="M33" s="273">
        <f t="shared" si="1"/>
        <v>-110.38720000000001</v>
      </c>
      <c r="N33" s="71">
        <f t="shared" si="2"/>
        <v>196.29</v>
      </c>
      <c r="O33" s="72">
        <f t="shared" si="3"/>
        <v>143.36000000000001</v>
      </c>
      <c r="P33" s="274">
        <f t="shared" si="4"/>
        <v>28140.134400000003</v>
      </c>
      <c r="Q33" s="237">
        <f t="shared" si="5"/>
        <v>211.18</v>
      </c>
      <c r="R33" s="185"/>
      <c r="S33" s="185"/>
      <c r="T33" s="185"/>
      <c r="U33" s="185"/>
      <c r="V33" s="185"/>
      <c r="W33" s="185"/>
    </row>
    <row r="34" spans="2:23" s="121" customFormat="1" ht="16.5" customHeight="1" x14ac:dyDescent="0.2">
      <c r="B34" s="120"/>
      <c r="C34" s="56" t="s">
        <v>1</v>
      </c>
      <c r="D34" s="56" t="s">
        <v>96</v>
      </c>
      <c r="E34" s="57" t="s">
        <v>206</v>
      </c>
      <c r="F34" s="58" t="s">
        <v>207</v>
      </c>
      <c r="G34" s="59" t="s">
        <v>150</v>
      </c>
      <c r="H34" s="60">
        <v>61.27</v>
      </c>
      <c r="I34" s="61">
        <v>318.27999999999997</v>
      </c>
      <c r="J34" s="60">
        <v>19501</v>
      </c>
      <c r="K34" s="68">
        <f t="shared" si="6"/>
        <v>-0.24</v>
      </c>
      <c r="L34" s="69">
        <f t="shared" si="0"/>
        <v>318.27999999999997</v>
      </c>
      <c r="M34" s="273">
        <f t="shared" si="1"/>
        <v>-76.387199999999993</v>
      </c>
      <c r="N34" s="71">
        <f t="shared" si="2"/>
        <v>61.03</v>
      </c>
      <c r="O34" s="72">
        <f t="shared" si="3"/>
        <v>318.27999999999997</v>
      </c>
      <c r="P34" s="274">
        <f t="shared" si="4"/>
        <v>19424.628399999998</v>
      </c>
      <c r="Q34" s="237">
        <f t="shared" si="5"/>
        <v>65.66</v>
      </c>
      <c r="R34" s="185"/>
      <c r="S34" s="185"/>
      <c r="T34" s="185"/>
      <c r="U34" s="185"/>
      <c r="V34" s="185"/>
      <c r="W34" s="185"/>
    </row>
    <row r="35" spans="2:23" s="121" customFormat="1" ht="16.5" customHeight="1" x14ac:dyDescent="0.2">
      <c r="B35" s="120"/>
      <c r="C35" s="73" t="s">
        <v>159</v>
      </c>
      <c r="D35" s="73" t="s">
        <v>209</v>
      </c>
      <c r="E35" s="74" t="s">
        <v>210</v>
      </c>
      <c r="F35" s="75" t="s">
        <v>211</v>
      </c>
      <c r="G35" s="76" t="s">
        <v>201</v>
      </c>
      <c r="H35" s="77">
        <v>122.54</v>
      </c>
      <c r="I35" s="78">
        <v>172.71</v>
      </c>
      <c r="J35" s="77">
        <v>21163.9</v>
      </c>
      <c r="K35" s="68">
        <f t="shared" si="6"/>
        <v>-0.48</v>
      </c>
      <c r="L35" s="69">
        <f t="shared" si="0"/>
        <v>172.71</v>
      </c>
      <c r="M35" s="273">
        <f t="shared" si="1"/>
        <v>-82.900800000000004</v>
      </c>
      <c r="N35" s="71">
        <f t="shared" si="2"/>
        <v>122.06</v>
      </c>
      <c r="O35" s="72">
        <f t="shared" si="3"/>
        <v>172.71</v>
      </c>
      <c r="P35" s="274">
        <f t="shared" si="4"/>
        <v>21080.982600000003</v>
      </c>
      <c r="Q35" s="237">
        <f t="shared" si="5"/>
        <v>131.32</v>
      </c>
      <c r="R35" s="185"/>
      <c r="S35" s="185"/>
      <c r="T35" s="185"/>
      <c r="U35" s="185"/>
      <c r="V35" s="185"/>
      <c r="W35" s="185"/>
    </row>
    <row r="36" spans="2:23" s="121" customFormat="1" ht="16.5" customHeight="1" x14ac:dyDescent="0.2">
      <c r="B36" s="120"/>
      <c r="C36" s="56" t="s">
        <v>162</v>
      </c>
      <c r="D36" s="56" t="s">
        <v>96</v>
      </c>
      <c r="E36" s="57" t="s">
        <v>213</v>
      </c>
      <c r="F36" s="58" t="s">
        <v>214</v>
      </c>
      <c r="G36" s="59" t="s">
        <v>108</v>
      </c>
      <c r="H36" s="60">
        <v>118.47</v>
      </c>
      <c r="I36" s="61">
        <v>53.92</v>
      </c>
      <c r="J36" s="60">
        <v>6387.9</v>
      </c>
      <c r="K36" s="68">
        <f t="shared" si="6"/>
        <v>-0.47</v>
      </c>
      <c r="L36" s="69">
        <f t="shared" si="0"/>
        <v>53.92</v>
      </c>
      <c r="M36" s="273">
        <f t="shared" si="1"/>
        <v>-25.342399999999998</v>
      </c>
      <c r="N36" s="71">
        <f t="shared" si="2"/>
        <v>118</v>
      </c>
      <c r="O36" s="72">
        <f t="shared" si="3"/>
        <v>53.92</v>
      </c>
      <c r="P36" s="274">
        <f t="shared" si="4"/>
        <v>6362.56</v>
      </c>
      <c r="Q36" s="237">
        <f t="shared" si="5"/>
        <v>126.96</v>
      </c>
      <c r="R36" s="185"/>
      <c r="S36" s="185"/>
      <c r="T36" s="185"/>
      <c r="U36" s="185"/>
      <c r="V36" s="185"/>
      <c r="W36" s="185"/>
    </row>
    <row r="37" spans="2:23" s="170" customFormat="1" ht="22.9" customHeight="1" x14ac:dyDescent="0.2">
      <c r="B37" s="165"/>
      <c r="C37" s="252"/>
      <c r="D37" s="253" t="s">
        <v>4</v>
      </c>
      <c r="E37" s="254" t="s">
        <v>13</v>
      </c>
      <c r="F37" s="254" t="s">
        <v>222</v>
      </c>
      <c r="G37" s="252"/>
      <c r="H37" s="252"/>
      <c r="I37" s="255"/>
      <c r="J37" s="256">
        <f>+SUBTOTAL(9,J38:J39)</f>
        <v>4021</v>
      </c>
      <c r="K37" s="261"/>
      <c r="L37" s="262"/>
      <c r="M37" s="279">
        <f>SUM(M38:M39)</f>
        <v>-15.784000000000001</v>
      </c>
      <c r="N37" s="280"/>
      <c r="O37" s="262"/>
      <c r="P37" s="279">
        <f>SUM(P38:P39)</f>
        <v>4005.19</v>
      </c>
      <c r="Q37" s="237"/>
      <c r="R37" s="187"/>
      <c r="S37" s="187"/>
      <c r="T37" s="187"/>
      <c r="U37" s="187"/>
      <c r="V37" s="187"/>
      <c r="W37" s="187"/>
    </row>
    <row r="38" spans="2:23" s="121" customFormat="1" ht="16.5" customHeight="1" x14ac:dyDescent="0.2">
      <c r="B38" s="120"/>
      <c r="C38" s="56" t="s">
        <v>165</v>
      </c>
      <c r="D38" s="56" t="s">
        <v>96</v>
      </c>
      <c r="E38" s="57" t="s">
        <v>224</v>
      </c>
      <c r="F38" s="58" t="s">
        <v>225</v>
      </c>
      <c r="G38" s="59" t="s">
        <v>133</v>
      </c>
      <c r="H38" s="60">
        <v>101.9</v>
      </c>
      <c r="I38" s="61">
        <v>32.880000000000003</v>
      </c>
      <c r="J38" s="60">
        <v>3350.5</v>
      </c>
      <c r="K38" s="68">
        <f t="shared" si="6"/>
        <v>-0.4</v>
      </c>
      <c r="L38" s="69">
        <f t="shared" si="0"/>
        <v>32.880000000000003</v>
      </c>
      <c r="M38" s="273">
        <f t="shared" si="1"/>
        <v>-13.152000000000001</v>
      </c>
      <c r="N38" s="71">
        <f t="shared" si="2"/>
        <v>101.5</v>
      </c>
      <c r="O38" s="72">
        <f t="shared" si="3"/>
        <v>32.880000000000003</v>
      </c>
      <c r="P38" s="274">
        <f t="shared" si="4"/>
        <v>3337.32</v>
      </c>
      <c r="Q38" s="237">
        <f t="shared" si="5"/>
        <v>109.2</v>
      </c>
      <c r="R38" s="185"/>
      <c r="S38" s="185"/>
      <c r="T38" s="185"/>
      <c r="U38" s="185"/>
      <c r="V38" s="185"/>
      <c r="W38" s="185"/>
    </row>
    <row r="39" spans="2:23" s="121" customFormat="1" ht="16.5" customHeight="1" x14ac:dyDescent="0.2">
      <c r="B39" s="120"/>
      <c r="C39" s="56" t="s">
        <v>168</v>
      </c>
      <c r="D39" s="56" t="s">
        <v>96</v>
      </c>
      <c r="E39" s="57" t="s">
        <v>227</v>
      </c>
      <c r="F39" s="58" t="s">
        <v>228</v>
      </c>
      <c r="G39" s="59" t="s">
        <v>133</v>
      </c>
      <c r="H39" s="60">
        <v>101.9</v>
      </c>
      <c r="I39" s="61">
        <v>6.58</v>
      </c>
      <c r="J39" s="60">
        <v>670.5</v>
      </c>
      <c r="K39" s="68">
        <f t="shared" si="6"/>
        <v>-0.4</v>
      </c>
      <c r="L39" s="69">
        <f t="shared" si="0"/>
        <v>6.58</v>
      </c>
      <c r="M39" s="273">
        <f t="shared" si="1"/>
        <v>-2.6320000000000001</v>
      </c>
      <c r="N39" s="71">
        <f t="shared" si="2"/>
        <v>101.5</v>
      </c>
      <c r="O39" s="72">
        <f t="shared" si="3"/>
        <v>6.58</v>
      </c>
      <c r="P39" s="274">
        <f t="shared" si="4"/>
        <v>667.87</v>
      </c>
      <c r="Q39" s="237">
        <f t="shared" si="5"/>
        <v>109.2</v>
      </c>
      <c r="R39" s="185"/>
      <c r="S39" s="185"/>
      <c r="T39" s="185"/>
      <c r="U39" s="185"/>
      <c r="V39" s="185"/>
      <c r="W39" s="185"/>
    </row>
    <row r="40" spans="2:23" s="170" customFormat="1" ht="22.9" customHeight="1" x14ac:dyDescent="0.2">
      <c r="B40" s="165"/>
      <c r="C40" s="252"/>
      <c r="D40" s="253" t="s">
        <v>4</v>
      </c>
      <c r="E40" s="254" t="s">
        <v>100</v>
      </c>
      <c r="F40" s="254" t="s">
        <v>229</v>
      </c>
      <c r="G40" s="252"/>
      <c r="H40" s="252"/>
      <c r="I40" s="255"/>
      <c r="J40" s="256">
        <f>+SUBTOTAL(9,J41:J48)</f>
        <v>52644.4</v>
      </c>
      <c r="K40" s="261"/>
      <c r="L40" s="262"/>
      <c r="M40" s="279">
        <f>SUM(M41:M48)</f>
        <v>-194.34959999999998</v>
      </c>
      <c r="N40" s="280"/>
      <c r="O40" s="262"/>
      <c r="P40" s="279">
        <f>SUM(P41:P48)</f>
        <v>52449.977399999996</v>
      </c>
      <c r="Q40" s="237"/>
      <c r="R40" s="187"/>
      <c r="S40" s="187"/>
      <c r="T40" s="187"/>
      <c r="U40" s="187"/>
      <c r="V40" s="187"/>
      <c r="W40" s="187"/>
    </row>
    <row r="41" spans="2:23" s="121" customFormat="1" ht="16.5" customHeight="1" x14ac:dyDescent="0.2">
      <c r="B41" s="120"/>
      <c r="C41" s="56" t="s">
        <v>171</v>
      </c>
      <c r="D41" s="56" t="s">
        <v>96</v>
      </c>
      <c r="E41" s="57" t="s">
        <v>231</v>
      </c>
      <c r="F41" s="58" t="s">
        <v>232</v>
      </c>
      <c r="G41" s="59" t="s">
        <v>99</v>
      </c>
      <c r="H41" s="60">
        <v>3</v>
      </c>
      <c r="I41" s="61">
        <v>122.32</v>
      </c>
      <c r="J41" s="60">
        <v>367</v>
      </c>
      <c r="K41" s="68">
        <v>0</v>
      </c>
      <c r="L41" s="69">
        <f t="shared" si="0"/>
        <v>122.32</v>
      </c>
      <c r="M41" s="273">
        <f t="shared" si="1"/>
        <v>0</v>
      </c>
      <c r="N41" s="71">
        <f t="shared" si="2"/>
        <v>3</v>
      </c>
      <c r="O41" s="72">
        <f t="shared" si="3"/>
        <v>122.32</v>
      </c>
      <c r="P41" s="274">
        <f t="shared" si="4"/>
        <v>366.96</v>
      </c>
      <c r="Q41" s="237">
        <f t="shared" si="5"/>
        <v>3.21</v>
      </c>
      <c r="R41" s="185"/>
      <c r="S41" s="185"/>
      <c r="T41" s="185"/>
      <c r="U41" s="185"/>
      <c r="V41" s="185"/>
      <c r="W41" s="185"/>
    </row>
    <row r="42" spans="2:23" s="121" customFormat="1" ht="16.5" customHeight="1" x14ac:dyDescent="0.2">
      <c r="B42" s="120"/>
      <c r="C42" s="73" t="s">
        <v>174</v>
      </c>
      <c r="D42" s="73" t="s">
        <v>209</v>
      </c>
      <c r="E42" s="74" t="s">
        <v>237</v>
      </c>
      <c r="F42" s="75" t="s">
        <v>238</v>
      </c>
      <c r="G42" s="76" t="s">
        <v>99</v>
      </c>
      <c r="H42" s="77">
        <v>1</v>
      </c>
      <c r="I42" s="78">
        <v>313.02</v>
      </c>
      <c r="J42" s="77">
        <v>313</v>
      </c>
      <c r="K42" s="68">
        <v>0</v>
      </c>
      <c r="L42" s="69">
        <f t="shared" si="0"/>
        <v>313.02</v>
      </c>
      <c r="M42" s="273">
        <f t="shared" si="1"/>
        <v>0</v>
      </c>
      <c r="N42" s="71">
        <f t="shared" si="2"/>
        <v>1</v>
      </c>
      <c r="O42" s="72">
        <f t="shared" si="3"/>
        <v>313.02</v>
      </c>
      <c r="P42" s="274">
        <f t="shared" si="4"/>
        <v>313.02</v>
      </c>
      <c r="Q42" s="237">
        <f t="shared" si="5"/>
        <v>1.07</v>
      </c>
      <c r="R42" s="185"/>
      <c r="S42" s="185"/>
      <c r="T42" s="185"/>
      <c r="U42" s="185"/>
      <c r="V42" s="185"/>
      <c r="W42" s="185"/>
    </row>
    <row r="43" spans="2:23" s="121" customFormat="1" ht="16.5" customHeight="1" x14ac:dyDescent="0.2">
      <c r="B43" s="120"/>
      <c r="C43" s="73" t="s">
        <v>177</v>
      </c>
      <c r="D43" s="73" t="s">
        <v>209</v>
      </c>
      <c r="E43" s="74" t="s">
        <v>240</v>
      </c>
      <c r="F43" s="75" t="s">
        <v>241</v>
      </c>
      <c r="G43" s="76" t="s">
        <v>99</v>
      </c>
      <c r="H43" s="77">
        <v>1</v>
      </c>
      <c r="I43" s="78">
        <v>270.94</v>
      </c>
      <c r="J43" s="77">
        <v>270.89999999999998</v>
      </c>
      <c r="K43" s="68">
        <v>0</v>
      </c>
      <c r="L43" s="69">
        <f t="shared" si="0"/>
        <v>270.94</v>
      </c>
      <c r="M43" s="273">
        <f t="shared" si="1"/>
        <v>0</v>
      </c>
      <c r="N43" s="71">
        <f t="shared" si="2"/>
        <v>1</v>
      </c>
      <c r="O43" s="72">
        <f t="shared" si="3"/>
        <v>270.94</v>
      </c>
      <c r="P43" s="274">
        <f t="shared" si="4"/>
        <v>270.94</v>
      </c>
      <c r="Q43" s="237">
        <f t="shared" si="5"/>
        <v>1.07</v>
      </c>
      <c r="R43" s="185"/>
      <c r="S43" s="185"/>
      <c r="T43" s="185"/>
      <c r="U43" s="185"/>
      <c r="V43" s="185"/>
      <c r="W43" s="185"/>
    </row>
    <row r="44" spans="2:23" s="121" customFormat="1" ht="16.5" customHeight="1" x14ac:dyDescent="0.2">
      <c r="B44" s="120"/>
      <c r="C44" s="73" t="s">
        <v>180</v>
      </c>
      <c r="D44" s="73" t="s">
        <v>209</v>
      </c>
      <c r="E44" s="74" t="s">
        <v>243</v>
      </c>
      <c r="F44" s="75" t="s">
        <v>244</v>
      </c>
      <c r="G44" s="76" t="s">
        <v>99</v>
      </c>
      <c r="H44" s="77">
        <v>1</v>
      </c>
      <c r="I44" s="78">
        <v>220.96</v>
      </c>
      <c r="J44" s="77">
        <v>221</v>
      </c>
      <c r="K44" s="68">
        <v>0</v>
      </c>
      <c r="L44" s="69">
        <f t="shared" si="0"/>
        <v>220.96</v>
      </c>
      <c r="M44" s="273">
        <f t="shared" si="1"/>
        <v>0</v>
      </c>
      <c r="N44" s="71">
        <f t="shared" si="2"/>
        <v>1</v>
      </c>
      <c r="O44" s="72">
        <f t="shared" si="3"/>
        <v>220.96</v>
      </c>
      <c r="P44" s="274">
        <f t="shared" si="4"/>
        <v>220.96</v>
      </c>
      <c r="Q44" s="237">
        <f t="shared" si="5"/>
        <v>1.07</v>
      </c>
      <c r="R44" s="185"/>
      <c r="S44" s="185"/>
      <c r="T44" s="185"/>
      <c r="U44" s="185"/>
      <c r="V44" s="185"/>
      <c r="W44" s="185"/>
    </row>
    <row r="45" spans="2:23" s="121" customFormat="1" ht="16.5" customHeight="1" x14ac:dyDescent="0.2">
      <c r="B45" s="120"/>
      <c r="C45" s="56" t="s">
        <v>183</v>
      </c>
      <c r="D45" s="56" t="s">
        <v>96</v>
      </c>
      <c r="E45" s="57" t="s">
        <v>246</v>
      </c>
      <c r="F45" s="58" t="s">
        <v>247</v>
      </c>
      <c r="G45" s="59" t="s">
        <v>99</v>
      </c>
      <c r="H45" s="60">
        <v>2</v>
      </c>
      <c r="I45" s="61">
        <v>152.57</v>
      </c>
      <c r="J45" s="60">
        <v>305.10000000000002</v>
      </c>
      <c r="K45" s="68">
        <v>0</v>
      </c>
      <c r="L45" s="69">
        <f t="shared" si="0"/>
        <v>152.57</v>
      </c>
      <c r="M45" s="273">
        <f t="shared" si="1"/>
        <v>0</v>
      </c>
      <c r="N45" s="71">
        <f t="shared" si="2"/>
        <v>2</v>
      </c>
      <c r="O45" s="72">
        <f t="shared" si="3"/>
        <v>152.57</v>
      </c>
      <c r="P45" s="274">
        <f t="shared" si="4"/>
        <v>305.14</v>
      </c>
      <c r="Q45" s="237">
        <f t="shared" si="5"/>
        <v>2.14</v>
      </c>
      <c r="R45" s="185"/>
      <c r="S45" s="185"/>
      <c r="T45" s="185"/>
      <c r="U45" s="185"/>
      <c r="V45" s="185"/>
      <c r="W45" s="185"/>
    </row>
    <row r="46" spans="2:23" s="121" customFormat="1" ht="16.5" customHeight="1" x14ac:dyDescent="0.2">
      <c r="B46" s="120"/>
      <c r="C46" s="73" t="s">
        <v>186</v>
      </c>
      <c r="D46" s="73" t="s">
        <v>209</v>
      </c>
      <c r="E46" s="74" t="s">
        <v>249</v>
      </c>
      <c r="F46" s="75" t="s">
        <v>250</v>
      </c>
      <c r="G46" s="76" t="s">
        <v>99</v>
      </c>
      <c r="H46" s="77">
        <v>2</v>
      </c>
      <c r="I46" s="78">
        <v>395.88</v>
      </c>
      <c r="J46" s="77">
        <v>791.8</v>
      </c>
      <c r="K46" s="68">
        <v>0</v>
      </c>
      <c r="L46" s="69">
        <f t="shared" si="0"/>
        <v>395.88</v>
      </c>
      <c r="M46" s="273">
        <f t="shared" si="1"/>
        <v>0</v>
      </c>
      <c r="N46" s="71">
        <f t="shared" si="2"/>
        <v>2</v>
      </c>
      <c r="O46" s="72">
        <f t="shared" si="3"/>
        <v>395.88</v>
      </c>
      <c r="P46" s="274">
        <f t="shared" si="4"/>
        <v>791.76</v>
      </c>
      <c r="Q46" s="237">
        <f t="shared" si="5"/>
        <v>2.14</v>
      </c>
      <c r="R46" s="185"/>
      <c r="S46" s="185"/>
      <c r="T46" s="185"/>
      <c r="U46" s="185"/>
      <c r="V46" s="185"/>
      <c r="W46" s="185"/>
    </row>
    <row r="47" spans="2:23" s="121" customFormat="1" ht="16.5" customHeight="1" x14ac:dyDescent="0.2">
      <c r="B47" s="120"/>
      <c r="C47" s="56" t="s">
        <v>189</v>
      </c>
      <c r="D47" s="56" t="s">
        <v>96</v>
      </c>
      <c r="E47" s="57" t="s">
        <v>252</v>
      </c>
      <c r="F47" s="58" t="s">
        <v>253</v>
      </c>
      <c r="G47" s="59" t="s">
        <v>150</v>
      </c>
      <c r="H47" s="60">
        <v>14.43</v>
      </c>
      <c r="I47" s="61">
        <v>3239.16</v>
      </c>
      <c r="J47" s="60">
        <v>46741.1</v>
      </c>
      <c r="K47" s="68">
        <f t="shared" ref="K47:K48" si="7">ROUND(108.8/109.2*Q47-Q47,2)</f>
        <v>-0.06</v>
      </c>
      <c r="L47" s="69">
        <f t="shared" si="0"/>
        <v>3239.16</v>
      </c>
      <c r="M47" s="273">
        <f t="shared" si="1"/>
        <v>-194.34959999999998</v>
      </c>
      <c r="N47" s="71">
        <f t="shared" si="2"/>
        <v>14.37</v>
      </c>
      <c r="O47" s="72">
        <f t="shared" si="3"/>
        <v>3239.16</v>
      </c>
      <c r="P47" s="274">
        <f t="shared" si="4"/>
        <v>46546.729199999994</v>
      </c>
      <c r="Q47" s="237">
        <f t="shared" si="5"/>
        <v>15.46</v>
      </c>
      <c r="R47" s="185"/>
      <c r="S47" s="185"/>
      <c r="T47" s="185"/>
      <c r="U47" s="185"/>
      <c r="V47" s="185"/>
      <c r="W47" s="185"/>
    </row>
    <row r="48" spans="2:23" s="121" customFormat="1" ht="16.5" customHeight="1" x14ac:dyDescent="0.2">
      <c r="B48" s="120"/>
      <c r="C48" s="56" t="s">
        <v>192</v>
      </c>
      <c r="D48" s="56" t="s">
        <v>96</v>
      </c>
      <c r="E48" s="57" t="s">
        <v>255</v>
      </c>
      <c r="F48" s="58" t="s">
        <v>256</v>
      </c>
      <c r="G48" s="59" t="s">
        <v>150</v>
      </c>
      <c r="H48" s="60">
        <v>1.1399999999999999</v>
      </c>
      <c r="I48" s="61">
        <v>3188.13</v>
      </c>
      <c r="J48" s="60">
        <v>3634.5</v>
      </c>
      <c r="K48" s="68">
        <f t="shared" si="7"/>
        <v>0</v>
      </c>
      <c r="L48" s="69">
        <f t="shared" si="0"/>
        <v>3188.13</v>
      </c>
      <c r="M48" s="273">
        <f t="shared" si="1"/>
        <v>0</v>
      </c>
      <c r="N48" s="71">
        <f t="shared" si="2"/>
        <v>1.1399999999999999</v>
      </c>
      <c r="O48" s="72">
        <f t="shared" si="3"/>
        <v>3188.13</v>
      </c>
      <c r="P48" s="274">
        <f t="shared" si="4"/>
        <v>3634.4681999999998</v>
      </c>
      <c r="Q48" s="237">
        <f t="shared" si="5"/>
        <v>1.22</v>
      </c>
      <c r="R48" s="185"/>
      <c r="S48" s="185"/>
      <c r="T48" s="185"/>
      <c r="U48" s="185"/>
      <c r="V48" s="185"/>
      <c r="W48" s="185"/>
    </row>
    <row r="49" spans="2:23" s="170" customFormat="1" ht="22.9" customHeight="1" x14ac:dyDescent="0.2">
      <c r="B49" s="165"/>
      <c r="C49" s="252"/>
      <c r="D49" s="253" t="s">
        <v>4</v>
      </c>
      <c r="E49" s="254" t="s">
        <v>105</v>
      </c>
      <c r="F49" s="254" t="s">
        <v>257</v>
      </c>
      <c r="G49" s="252"/>
      <c r="H49" s="252"/>
      <c r="I49" s="255"/>
      <c r="J49" s="256">
        <f>+SUBTOTAL(9,J50:J54)</f>
        <v>2760.3999999999996</v>
      </c>
      <c r="K49" s="261"/>
      <c r="L49" s="262"/>
      <c r="M49" s="279">
        <f>SUM(M50:M54)</f>
        <v>0</v>
      </c>
      <c r="N49" s="280"/>
      <c r="O49" s="262"/>
      <c r="P49" s="279">
        <f>SUM(P50:P54)</f>
        <v>2760.3689999999997</v>
      </c>
      <c r="Q49" s="237"/>
      <c r="R49" s="187"/>
      <c r="S49" s="187"/>
      <c r="T49" s="187"/>
      <c r="U49" s="187"/>
      <c r="V49" s="187"/>
      <c r="W49" s="187"/>
    </row>
    <row r="50" spans="2:23" s="121" customFormat="1" ht="16.5" customHeight="1" x14ac:dyDescent="0.2">
      <c r="B50" s="120"/>
      <c r="C50" s="56" t="s">
        <v>195</v>
      </c>
      <c r="D50" s="56" t="s">
        <v>96</v>
      </c>
      <c r="E50" s="57" t="s">
        <v>262</v>
      </c>
      <c r="F50" s="58" t="s">
        <v>263</v>
      </c>
      <c r="G50" s="59" t="s">
        <v>108</v>
      </c>
      <c r="H50" s="60">
        <v>1.65</v>
      </c>
      <c r="I50" s="61">
        <v>302.54000000000002</v>
      </c>
      <c r="J50" s="60">
        <v>499.2</v>
      </c>
      <c r="K50" s="68">
        <v>0</v>
      </c>
      <c r="L50" s="69">
        <f t="shared" si="0"/>
        <v>302.54000000000002</v>
      </c>
      <c r="M50" s="273">
        <f t="shared" si="1"/>
        <v>0</v>
      </c>
      <c r="N50" s="71">
        <f t="shared" si="2"/>
        <v>1.65</v>
      </c>
      <c r="O50" s="72">
        <f t="shared" si="3"/>
        <v>302.54000000000002</v>
      </c>
      <c r="P50" s="274">
        <f t="shared" si="4"/>
        <v>499.19100000000003</v>
      </c>
      <c r="Q50" s="237">
        <f t="shared" si="5"/>
        <v>1.77</v>
      </c>
      <c r="R50" s="185"/>
      <c r="S50" s="185"/>
      <c r="T50" s="185"/>
      <c r="U50" s="185"/>
      <c r="V50" s="185"/>
      <c r="W50" s="185"/>
    </row>
    <row r="51" spans="2:23" s="121" customFormat="1" ht="16.5" customHeight="1" x14ac:dyDescent="0.2">
      <c r="B51" s="120"/>
      <c r="C51" s="56" t="s">
        <v>198</v>
      </c>
      <c r="D51" s="56" t="s">
        <v>96</v>
      </c>
      <c r="E51" s="57" t="s">
        <v>268</v>
      </c>
      <c r="F51" s="58" t="s">
        <v>269</v>
      </c>
      <c r="G51" s="59" t="s">
        <v>108</v>
      </c>
      <c r="H51" s="60">
        <v>1.65</v>
      </c>
      <c r="I51" s="61">
        <v>14.18</v>
      </c>
      <c r="J51" s="60">
        <v>23.4</v>
      </c>
      <c r="K51" s="68">
        <v>0</v>
      </c>
      <c r="L51" s="69">
        <f t="shared" si="0"/>
        <v>14.18</v>
      </c>
      <c r="M51" s="273">
        <f t="shared" si="1"/>
        <v>0</v>
      </c>
      <c r="N51" s="71">
        <f t="shared" si="2"/>
        <v>1.65</v>
      </c>
      <c r="O51" s="72">
        <f t="shared" si="3"/>
        <v>14.18</v>
      </c>
      <c r="P51" s="274">
        <f t="shared" si="4"/>
        <v>23.396999999999998</v>
      </c>
      <c r="Q51" s="237">
        <f t="shared" si="5"/>
        <v>1.77</v>
      </c>
      <c r="R51" s="185"/>
      <c r="S51" s="185"/>
      <c r="T51" s="185"/>
      <c r="U51" s="185"/>
      <c r="V51" s="185"/>
      <c r="W51" s="185"/>
    </row>
    <row r="52" spans="2:23" s="121" customFormat="1" ht="16.5" customHeight="1" x14ac:dyDescent="0.2">
      <c r="B52" s="120"/>
      <c r="C52" s="56" t="s">
        <v>202</v>
      </c>
      <c r="D52" s="56" t="s">
        <v>96</v>
      </c>
      <c r="E52" s="57" t="s">
        <v>271</v>
      </c>
      <c r="F52" s="58" t="s">
        <v>272</v>
      </c>
      <c r="G52" s="59" t="s">
        <v>108</v>
      </c>
      <c r="H52" s="60">
        <v>3.15</v>
      </c>
      <c r="I52" s="61">
        <v>20.62</v>
      </c>
      <c r="J52" s="60">
        <v>65</v>
      </c>
      <c r="K52" s="68">
        <v>0</v>
      </c>
      <c r="L52" s="69">
        <f t="shared" si="0"/>
        <v>20.62</v>
      </c>
      <c r="M52" s="273">
        <f t="shared" si="1"/>
        <v>0</v>
      </c>
      <c r="N52" s="71">
        <f t="shared" si="2"/>
        <v>3.15</v>
      </c>
      <c r="O52" s="72">
        <f t="shared" si="3"/>
        <v>20.62</v>
      </c>
      <c r="P52" s="274">
        <f t="shared" si="4"/>
        <v>64.953000000000003</v>
      </c>
      <c r="Q52" s="237">
        <f t="shared" si="5"/>
        <v>3.38</v>
      </c>
      <c r="R52" s="185"/>
      <c r="S52" s="185"/>
      <c r="T52" s="185"/>
      <c r="U52" s="185"/>
      <c r="V52" s="185"/>
      <c r="W52" s="185"/>
    </row>
    <row r="53" spans="2:23" s="121" customFormat="1" ht="16.5" customHeight="1" x14ac:dyDescent="0.2">
      <c r="B53" s="120"/>
      <c r="C53" s="56" t="s">
        <v>205</v>
      </c>
      <c r="D53" s="56" t="s">
        <v>96</v>
      </c>
      <c r="E53" s="57" t="s">
        <v>274</v>
      </c>
      <c r="F53" s="58" t="s">
        <v>275</v>
      </c>
      <c r="G53" s="59" t="s">
        <v>108</v>
      </c>
      <c r="H53" s="60">
        <v>3.15</v>
      </c>
      <c r="I53" s="61">
        <v>396.71</v>
      </c>
      <c r="J53" s="60">
        <v>1249.5999999999999</v>
      </c>
      <c r="K53" s="68">
        <v>0</v>
      </c>
      <c r="L53" s="69">
        <f t="shared" si="0"/>
        <v>396.71</v>
      </c>
      <c r="M53" s="273">
        <f t="shared" si="1"/>
        <v>0</v>
      </c>
      <c r="N53" s="71">
        <f t="shared" si="2"/>
        <v>3.15</v>
      </c>
      <c r="O53" s="72">
        <f t="shared" si="3"/>
        <v>396.71</v>
      </c>
      <c r="P53" s="274">
        <f t="shared" si="4"/>
        <v>1249.6364999999998</v>
      </c>
      <c r="Q53" s="237">
        <f t="shared" si="5"/>
        <v>3.38</v>
      </c>
      <c r="R53" s="185"/>
      <c r="S53" s="185"/>
      <c r="T53" s="185"/>
      <c r="U53" s="185"/>
      <c r="V53" s="185"/>
      <c r="W53" s="185"/>
    </row>
    <row r="54" spans="2:23" s="121" customFormat="1" ht="16.5" customHeight="1" x14ac:dyDescent="0.2">
      <c r="B54" s="120"/>
      <c r="C54" s="56" t="s">
        <v>208</v>
      </c>
      <c r="D54" s="56" t="s">
        <v>96</v>
      </c>
      <c r="E54" s="57" t="s">
        <v>277</v>
      </c>
      <c r="F54" s="58" t="s">
        <v>278</v>
      </c>
      <c r="G54" s="59" t="s">
        <v>108</v>
      </c>
      <c r="H54" s="60">
        <v>1.65</v>
      </c>
      <c r="I54" s="61">
        <v>559.51</v>
      </c>
      <c r="J54" s="60">
        <v>923.2</v>
      </c>
      <c r="K54" s="68">
        <v>0</v>
      </c>
      <c r="L54" s="69">
        <f t="shared" si="0"/>
        <v>559.51</v>
      </c>
      <c r="M54" s="273">
        <f t="shared" si="1"/>
        <v>0</v>
      </c>
      <c r="N54" s="71">
        <f t="shared" si="2"/>
        <v>1.65</v>
      </c>
      <c r="O54" s="72">
        <f t="shared" si="3"/>
        <v>559.51</v>
      </c>
      <c r="P54" s="274">
        <f t="shared" si="4"/>
        <v>923.19149999999991</v>
      </c>
      <c r="Q54" s="237">
        <f t="shared" si="5"/>
        <v>1.77</v>
      </c>
      <c r="R54" s="185"/>
      <c r="S54" s="185"/>
      <c r="T54" s="185"/>
      <c r="U54" s="185"/>
      <c r="V54" s="185"/>
      <c r="W54" s="185"/>
    </row>
    <row r="55" spans="2:23" s="170" customFormat="1" ht="22.9" customHeight="1" x14ac:dyDescent="0.2">
      <c r="B55" s="165"/>
      <c r="C55" s="252"/>
      <c r="D55" s="253" t="s">
        <v>4</v>
      </c>
      <c r="E55" s="254" t="s">
        <v>115</v>
      </c>
      <c r="F55" s="254" t="s">
        <v>288</v>
      </c>
      <c r="G55" s="252"/>
      <c r="H55" s="252"/>
      <c r="I55" s="255"/>
      <c r="J55" s="256">
        <f>+SUBTOTAL(9,J56:J76)</f>
        <v>311572.19999999995</v>
      </c>
      <c r="K55" s="261"/>
      <c r="L55" s="262"/>
      <c r="M55" s="279">
        <f>SUM(M56:M76)</f>
        <v>-675.86800000000005</v>
      </c>
      <c r="N55" s="280"/>
      <c r="O55" s="262"/>
      <c r="P55" s="279">
        <f>SUM(P56:P76)</f>
        <v>310896.1667</v>
      </c>
      <c r="Q55" s="237"/>
      <c r="R55" s="187"/>
      <c r="S55" s="187"/>
      <c r="T55" s="187"/>
      <c r="U55" s="187"/>
      <c r="V55" s="187"/>
      <c r="W55" s="187"/>
    </row>
    <row r="56" spans="2:23" s="121" customFormat="1" ht="12" x14ac:dyDescent="0.2">
      <c r="B56" s="120"/>
      <c r="C56" s="56" t="s">
        <v>212</v>
      </c>
      <c r="D56" s="56" t="s">
        <v>96</v>
      </c>
      <c r="E56" s="57" t="s">
        <v>296</v>
      </c>
      <c r="F56" s="58" t="s">
        <v>297</v>
      </c>
      <c r="G56" s="59" t="s">
        <v>133</v>
      </c>
      <c r="H56" s="60">
        <v>101.9</v>
      </c>
      <c r="I56" s="61">
        <v>552.39</v>
      </c>
      <c r="J56" s="60">
        <v>56288.5</v>
      </c>
      <c r="K56" s="68">
        <f t="shared" ref="K56:K57" si="8">ROUND(108.8/109.2*Q56-Q56,2)</f>
        <v>-0.4</v>
      </c>
      <c r="L56" s="69">
        <f t="shared" si="0"/>
        <v>552.39</v>
      </c>
      <c r="M56" s="273">
        <f t="shared" si="1"/>
        <v>-220.95600000000002</v>
      </c>
      <c r="N56" s="71">
        <f t="shared" si="2"/>
        <v>101.5</v>
      </c>
      <c r="O56" s="72">
        <f t="shared" si="3"/>
        <v>552.39</v>
      </c>
      <c r="P56" s="274">
        <f t="shared" si="4"/>
        <v>56067.584999999999</v>
      </c>
      <c r="Q56" s="237">
        <f t="shared" si="5"/>
        <v>109.2</v>
      </c>
      <c r="R56" s="185"/>
      <c r="S56" s="188"/>
      <c r="T56" s="185"/>
      <c r="U56" s="185"/>
      <c r="V56" s="185"/>
      <c r="W56" s="185"/>
    </row>
    <row r="57" spans="2:23" s="121" customFormat="1" ht="12" x14ac:dyDescent="0.2">
      <c r="B57" s="120"/>
      <c r="C57" s="73" t="s">
        <v>215</v>
      </c>
      <c r="D57" s="73" t="s">
        <v>209</v>
      </c>
      <c r="E57" s="74" t="s">
        <v>299</v>
      </c>
      <c r="F57" s="75" t="s">
        <v>300</v>
      </c>
      <c r="G57" s="76" t="s">
        <v>133</v>
      </c>
      <c r="H57" s="77">
        <v>101.9</v>
      </c>
      <c r="I57" s="78">
        <v>1060.07</v>
      </c>
      <c r="J57" s="77">
        <v>108021.1</v>
      </c>
      <c r="K57" s="68">
        <f t="shared" si="8"/>
        <v>-0.4</v>
      </c>
      <c r="L57" s="69">
        <f t="shared" si="0"/>
        <v>1060.07</v>
      </c>
      <c r="M57" s="273">
        <f t="shared" si="1"/>
        <v>-424.02800000000002</v>
      </c>
      <c r="N57" s="71">
        <f t="shared" si="2"/>
        <v>101.5</v>
      </c>
      <c r="O57" s="72">
        <f t="shared" si="3"/>
        <v>1060.07</v>
      </c>
      <c r="P57" s="274">
        <f t="shared" si="4"/>
        <v>107597.105</v>
      </c>
      <c r="Q57" s="237">
        <f t="shared" si="5"/>
        <v>109.2</v>
      </c>
      <c r="R57" s="185"/>
      <c r="S57" s="185"/>
      <c r="T57" s="185"/>
      <c r="U57" s="185"/>
      <c r="V57" s="185"/>
      <c r="W57" s="185"/>
    </row>
    <row r="58" spans="2:23" s="121" customFormat="1" ht="16.5" customHeight="1" x14ac:dyDescent="0.2">
      <c r="B58" s="120"/>
      <c r="C58" s="73" t="s">
        <v>219</v>
      </c>
      <c r="D58" s="73" t="s">
        <v>209</v>
      </c>
      <c r="E58" s="74" t="s">
        <v>302</v>
      </c>
      <c r="F58" s="75" t="s">
        <v>303</v>
      </c>
      <c r="G58" s="76" t="s">
        <v>99</v>
      </c>
      <c r="H58" s="77">
        <v>5</v>
      </c>
      <c r="I58" s="78">
        <v>739.15</v>
      </c>
      <c r="J58" s="77">
        <v>3695.8</v>
      </c>
      <c r="K58" s="68">
        <v>0</v>
      </c>
      <c r="L58" s="69">
        <f t="shared" si="0"/>
        <v>739.15</v>
      </c>
      <c r="M58" s="273">
        <f t="shared" si="1"/>
        <v>0</v>
      </c>
      <c r="N58" s="71">
        <f t="shared" si="2"/>
        <v>5</v>
      </c>
      <c r="O58" s="72">
        <f t="shared" si="3"/>
        <v>739.15</v>
      </c>
      <c r="P58" s="274">
        <f t="shared" si="4"/>
        <v>3695.75</v>
      </c>
      <c r="Q58" s="237">
        <f t="shared" si="5"/>
        <v>5.36</v>
      </c>
      <c r="R58" s="185"/>
      <c r="S58" s="185"/>
      <c r="T58" s="185"/>
      <c r="U58" s="185"/>
      <c r="V58" s="185"/>
      <c r="W58" s="185"/>
    </row>
    <row r="59" spans="2:23" s="121" customFormat="1" ht="16.5" customHeight="1" x14ac:dyDescent="0.2">
      <c r="B59" s="120"/>
      <c r="C59" s="56" t="s">
        <v>223</v>
      </c>
      <c r="D59" s="56" t="s">
        <v>96</v>
      </c>
      <c r="E59" s="57" t="s">
        <v>320</v>
      </c>
      <c r="F59" s="58" t="s">
        <v>321</v>
      </c>
      <c r="G59" s="59" t="s">
        <v>99</v>
      </c>
      <c r="H59" s="60">
        <v>1</v>
      </c>
      <c r="I59" s="61">
        <v>260.41000000000003</v>
      </c>
      <c r="J59" s="60">
        <v>260.39999999999998</v>
      </c>
      <c r="K59" s="68">
        <v>0</v>
      </c>
      <c r="L59" s="69">
        <f t="shared" si="0"/>
        <v>260.41000000000003</v>
      </c>
      <c r="M59" s="273">
        <f t="shared" si="1"/>
        <v>0</v>
      </c>
      <c r="N59" s="71">
        <f t="shared" si="2"/>
        <v>1</v>
      </c>
      <c r="O59" s="72">
        <f t="shared" si="3"/>
        <v>260.41000000000003</v>
      </c>
      <c r="P59" s="274">
        <f t="shared" si="4"/>
        <v>260.41000000000003</v>
      </c>
      <c r="Q59" s="237">
        <f t="shared" si="5"/>
        <v>1.07</v>
      </c>
      <c r="R59" s="185"/>
      <c r="S59" s="185"/>
      <c r="T59" s="185"/>
      <c r="U59" s="185"/>
      <c r="V59" s="185"/>
      <c r="W59" s="185"/>
    </row>
    <row r="60" spans="2:23" s="121" customFormat="1" ht="16.5" customHeight="1" x14ac:dyDescent="0.2">
      <c r="B60" s="120"/>
      <c r="C60" s="73" t="s">
        <v>226</v>
      </c>
      <c r="D60" s="73" t="s">
        <v>209</v>
      </c>
      <c r="E60" s="74" t="s">
        <v>326</v>
      </c>
      <c r="F60" s="75" t="s">
        <v>327</v>
      </c>
      <c r="G60" s="76" t="s">
        <v>99</v>
      </c>
      <c r="H60" s="77">
        <v>1.02</v>
      </c>
      <c r="I60" s="78">
        <v>1801.85</v>
      </c>
      <c r="J60" s="77">
        <v>1837.9</v>
      </c>
      <c r="K60" s="68">
        <v>0</v>
      </c>
      <c r="L60" s="69">
        <f t="shared" si="0"/>
        <v>1801.85</v>
      </c>
      <c r="M60" s="273">
        <f t="shared" si="1"/>
        <v>0</v>
      </c>
      <c r="N60" s="71">
        <f t="shared" si="2"/>
        <v>1.02</v>
      </c>
      <c r="O60" s="72">
        <f t="shared" si="3"/>
        <v>1801.85</v>
      </c>
      <c r="P60" s="274">
        <f t="shared" si="4"/>
        <v>1837.8869999999999</v>
      </c>
      <c r="Q60" s="237">
        <f t="shared" si="5"/>
        <v>1.0900000000000001</v>
      </c>
      <c r="R60" s="185"/>
      <c r="S60" s="185"/>
      <c r="T60" s="185"/>
      <c r="U60" s="185"/>
      <c r="V60" s="185"/>
      <c r="W60" s="185"/>
    </row>
    <row r="61" spans="2:23" s="121" customFormat="1" ht="16.5" customHeight="1" x14ac:dyDescent="0.2">
      <c r="B61" s="120"/>
      <c r="C61" s="56" t="s">
        <v>230</v>
      </c>
      <c r="D61" s="56" t="s">
        <v>96</v>
      </c>
      <c r="E61" s="57" t="s">
        <v>329</v>
      </c>
      <c r="F61" s="58" t="s">
        <v>330</v>
      </c>
      <c r="G61" s="59" t="s">
        <v>99</v>
      </c>
      <c r="H61" s="60">
        <v>7</v>
      </c>
      <c r="I61" s="61">
        <v>219.64</v>
      </c>
      <c r="J61" s="60">
        <v>1537.5</v>
      </c>
      <c r="K61" s="68">
        <v>0</v>
      </c>
      <c r="L61" s="69">
        <f t="shared" si="0"/>
        <v>219.64</v>
      </c>
      <c r="M61" s="273">
        <f t="shared" si="1"/>
        <v>0</v>
      </c>
      <c r="N61" s="71">
        <f t="shared" si="2"/>
        <v>7</v>
      </c>
      <c r="O61" s="72">
        <f t="shared" si="3"/>
        <v>219.64</v>
      </c>
      <c r="P61" s="274">
        <f t="shared" si="4"/>
        <v>1537.48</v>
      </c>
      <c r="Q61" s="237">
        <f t="shared" si="5"/>
        <v>7.5</v>
      </c>
      <c r="R61" s="185"/>
      <c r="S61" s="185"/>
      <c r="T61" s="185"/>
      <c r="U61" s="185"/>
      <c r="V61" s="185"/>
      <c r="W61" s="185"/>
    </row>
    <row r="62" spans="2:23" s="121" customFormat="1" ht="16.5" customHeight="1" x14ac:dyDescent="0.2">
      <c r="B62" s="120"/>
      <c r="C62" s="73" t="s">
        <v>233</v>
      </c>
      <c r="D62" s="73" t="s">
        <v>209</v>
      </c>
      <c r="E62" s="74" t="s">
        <v>332</v>
      </c>
      <c r="F62" s="75" t="s">
        <v>333</v>
      </c>
      <c r="G62" s="76" t="s">
        <v>99</v>
      </c>
      <c r="H62" s="77">
        <v>3.05</v>
      </c>
      <c r="I62" s="78">
        <v>1129.77</v>
      </c>
      <c r="J62" s="77">
        <v>3445.8</v>
      </c>
      <c r="K62" s="68">
        <v>0</v>
      </c>
      <c r="L62" s="69">
        <f t="shared" si="0"/>
        <v>1129.77</v>
      </c>
      <c r="M62" s="273">
        <f t="shared" si="1"/>
        <v>0</v>
      </c>
      <c r="N62" s="71">
        <f t="shared" si="2"/>
        <v>3.05</v>
      </c>
      <c r="O62" s="72">
        <f t="shared" si="3"/>
        <v>1129.77</v>
      </c>
      <c r="P62" s="274">
        <f t="shared" si="4"/>
        <v>3445.7984999999999</v>
      </c>
      <c r="Q62" s="237">
        <f t="shared" si="5"/>
        <v>3.27</v>
      </c>
      <c r="R62" s="185"/>
      <c r="S62" s="185"/>
      <c r="T62" s="185"/>
      <c r="U62" s="185"/>
      <c r="V62" s="185"/>
      <c r="W62" s="185"/>
    </row>
    <row r="63" spans="2:23" s="121" customFormat="1" ht="16.5" customHeight="1" x14ac:dyDescent="0.2">
      <c r="B63" s="120"/>
      <c r="C63" s="73" t="s">
        <v>236</v>
      </c>
      <c r="D63" s="73" t="s">
        <v>209</v>
      </c>
      <c r="E63" s="74" t="s">
        <v>335</v>
      </c>
      <c r="F63" s="75" t="s">
        <v>336</v>
      </c>
      <c r="G63" s="76" t="s">
        <v>99</v>
      </c>
      <c r="H63" s="77">
        <v>4.0599999999999996</v>
      </c>
      <c r="I63" s="78">
        <v>1129.77</v>
      </c>
      <c r="J63" s="77">
        <v>4586.8999999999996</v>
      </c>
      <c r="K63" s="68">
        <v>0</v>
      </c>
      <c r="L63" s="69">
        <f t="shared" si="0"/>
        <v>1129.77</v>
      </c>
      <c r="M63" s="273">
        <f t="shared" si="1"/>
        <v>0</v>
      </c>
      <c r="N63" s="71">
        <f t="shared" si="2"/>
        <v>4.0599999999999996</v>
      </c>
      <c r="O63" s="72">
        <f t="shared" si="3"/>
        <v>1129.77</v>
      </c>
      <c r="P63" s="274">
        <f t="shared" si="4"/>
        <v>4586.8661999999995</v>
      </c>
      <c r="Q63" s="237">
        <f t="shared" si="5"/>
        <v>4.3499999999999996</v>
      </c>
      <c r="R63" s="185"/>
      <c r="S63" s="185"/>
      <c r="T63" s="185"/>
      <c r="U63" s="185"/>
      <c r="V63" s="185"/>
      <c r="W63" s="185"/>
    </row>
    <row r="64" spans="2:23" s="121" customFormat="1" ht="33.75" customHeight="1" x14ac:dyDescent="0.2">
      <c r="B64" s="120"/>
      <c r="C64" s="56" t="s">
        <v>239</v>
      </c>
      <c r="D64" s="56" t="s">
        <v>96</v>
      </c>
      <c r="E64" s="57" t="s">
        <v>347</v>
      </c>
      <c r="F64" s="58" t="s">
        <v>348</v>
      </c>
      <c r="G64" s="59" t="s">
        <v>133</v>
      </c>
      <c r="H64" s="60">
        <v>101.9</v>
      </c>
      <c r="I64" s="61">
        <v>68</v>
      </c>
      <c r="J64" s="60">
        <v>6929.2</v>
      </c>
      <c r="K64" s="68">
        <f t="shared" ref="K64" si="9">ROUND(108.8/109.2*Q64-Q64,2)</f>
        <v>-0.4</v>
      </c>
      <c r="L64" s="69">
        <f t="shared" si="0"/>
        <v>68</v>
      </c>
      <c r="M64" s="273">
        <f t="shared" si="1"/>
        <v>-27.200000000000003</v>
      </c>
      <c r="N64" s="71">
        <f t="shared" si="2"/>
        <v>101.5</v>
      </c>
      <c r="O64" s="72">
        <f t="shared" si="3"/>
        <v>68</v>
      </c>
      <c r="P64" s="274">
        <f t="shared" si="4"/>
        <v>6902</v>
      </c>
      <c r="Q64" s="237">
        <f t="shared" si="5"/>
        <v>109.2</v>
      </c>
      <c r="R64" s="185"/>
      <c r="S64" s="185"/>
      <c r="T64" s="185"/>
      <c r="U64" s="185"/>
      <c r="V64" s="185"/>
      <c r="W64" s="185"/>
    </row>
    <row r="65" spans="2:23" s="121" customFormat="1" ht="16.5" customHeight="1" x14ac:dyDescent="0.2">
      <c r="B65" s="120"/>
      <c r="C65" s="56" t="s">
        <v>242</v>
      </c>
      <c r="D65" s="56" t="s">
        <v>96</v>
      </c>
      <c r="E65" s="57" t="s">
        <v>350</v>
      </c>
      <c r="F65" s="58" t="s">
        <v>351</v>
      </c>
      <c r="G65" s="59" t="s">
        <v>99</v>
      </c>
      <c r="H65" s="60">
        <v>6</v>
      </c>
      <c r="I65" s="61">
        <v>808.86</v>
      </c>
      <c r="J65" s="60">
        <v>4853.2</v>
      </c>
      <c r="K65" s="68">
        <v>0</v>
      </c>
      <c r="L65" s="69">
        <f t="shared" si="0"/>
        <v>808.86</v>
      </c>
      <c r="M65" s="273">
        <f t="shared" si="1"/>
        <v>0</v>
      </c>
      <c r="N65" s="71">
        <f t="shared" si="2"/>
        <v>6</v>
      </c>
      <c r="O65" s="72">
        <f t="shared" si="3"/>
        <v>808.86</v>
      </c>
      <c r="P65" s="274">
        <f t="shared" si="4"/>
        <v>4853.16</v>
      </c>
      <c r="Q65" s="237">
        <f t="shared" si="5"/>
        <v>6.43</v>
      </c>
      <c r="R65" s="185"/>
      <c r="S65" s="185"/>
      <c r="T65" s="185"/>
      <c r="U65" s="185"/>
      <c r="V65" s="185"/>
      <c r="W65" s="185"/>
    </row>
    <row r="66" spans="2:23" s="121" customFormat="1" ht="16.5" customHeight="1" x14ac:dyDescent="0.2">
      <c r="B66" s="120"/>
      <c r="C66" s="73" t="s">
        <v>245</v>
      </c>
      <c r="D66" s="73" t="s">
        <v>209</v>
      </c>
      <c r="E66" s="74" t="s">
        <v>353</v>
      </c>
      <c r="F66" s="75" t="s">
        <v>354</v>
      </c>
      <c r="G66" s="76" t="s">
        <v>99</v>
      </c>
      <c r="H66" s="77">
        <v>1</v>
      </c>
      <c r="I66" s="78">
        <v>3481.39</v>
      </c>
      <c r="J66" s="77">
        <v>3481.4</v>
      </c>
      <c r="K66" s="68">
        <v>0</v>
      </c>
      <c r="L66" s="69">
        <f t="shared" si="0"/>
        <v>3481.39</v>
      </c>
      <c r="M66" s="273">
        <f t="shared" si="1"/>
        <v>0</v>
      </c>
      <c r="N66" s="71">
        <f t="shared" si="2"/>
        <v>1</v>
      </c>
      <c r="O66" s="72">
        <f t="shared" si="3"/>
        <v>3481.39</v>
      </c>
      <c r="P66" s="274">
        <f t="shared" si="4"/>
        <v>3481.39</v>
      </c>
      <c r="Q66" s="237">
        <f t="shared" si="5"/>
        <v>1.07</v>
      </c>
      <c r="R66" s="185"/>
      <c r="S66" s="185"/>
      <c r="T66" s="185"/>
      <c r="U66" s="185"/>
      <c r="V66" s="185"/>
      <c r="W66" s="185"/>
    </row>
    <row r="67" spans="2:23" s="121" customFormat="1" ht="16.5" customHeight="1" x14ac:dyDescent="0.2">
      <c r="B67" s="120"/>
      <c r="C67" s="73" t="s">
        <v>248</v>
      </c>
      <c r="D67" s="73" t="s">
        <v>209</v>
      </c>
      <c r="E67" s="74" t="s">
        <v>356</v>
      </c>
      <c r="F67" s="75" t="s">
        <v>357</v>
      </c>
      <c r="G67" s="76" t="s">
        <v>99</v>
      </c>
      <c r="H67" s="77">
        <v>3</v>
      </c>
      <c r="I67" s="78">
        <v>1202.1099999999999</v>
      </c>
      <c r="J67" s="77">
        <v>3606.3</v>
      </c>
      <c r="K67" s="68">
        <v>0</v>
      </c>
      <c r="L67" s="69">
        <f t="shared" si="0"/>
        <v>1202.1099999999999</v>
      </c>
      <c r="M67" s="273">
        <f t="shared" si="1"/>
        <v>0</v>
      </c>
      <c r="N67" s="71">
        <f t="shared" si="2"/>
        <v>3</v>
      </c>
      <c r="O67" s="72">
        <f t="shared" si="3"/>
        <v>1202.1099999999999</v>
      </c>
      <c r="P67" s="274">
        <f t="shared" si="4"/>
        <v>3606.33</v>
      </c>
      <c r="Q67" s="237">
        <f t="shared" si="5"/>
        <v>3.21</v>
      </c>
      <c r="R67" s="185"/>
      <c r="S67" s="185"/>
      <c r="T67" s="185"/>
      <c r="U67" s="185"/>
      <c r="V67" s="185"/>
      <c r="W67" s="185"/>
    </row>
    <row r="68" spans="2:23" s="121" customFormat="1" ht="16.5" customHeight="1" x14ac:dyDescent="0.2">
      <c r="B68" s="120"/>
      <c r="C68" s="73" t="s">
        <v>251</v>
      </c>
      <c r="D68" s="73" t="s">
        <v>209</v>
      </c>
      <c r="E68" s="74" t="s">
        <v>359</v>
      </c>
      <c r="F68" s="75" t="s">
        <v>360</v>
      </c>
      <c r="G68" s="76" t="s">
        <v>99</v>
      </c>
      <c r="H68" s="77">
        <v>2</v>
      </c>
      <c r="I68" s="78">
        <v>775.98</v>
      </c>
      <c r="J68" s="77">
        <v>1552</v>
      </c>
      <c r="K68" s="68">
        <v>0</v>
      </c>
      <c r="L68" s="69">
        <f t="shared" si="0"/>
        <v>775.98</v>
      </c>
      <c r="M68" s="273">
        <f t="shared" si="1"/>
        <v>0</v>
      </c>
      <c r="N68" s="71">
        <f t="shared" si="2"/>
        <v>2</v>
      </c>
      <c r="O68" s="72">
        <f t="shared" si="3"/>
        <v>775.98</v>
      </c>
      <c r="P68" s="274">
        <f t="shared" si="4"/>
        <v>1551.96</v>
      </c>
      <c r="Q68" s="237">
        <f t="shared" si="5"/>
        <v>2.14</v>
      </c>
      <c r="R68" s="185"/>
      <c r="S68" s="185"/>
      <c r="T68" s="185"/>
      <c r="U68" s="185"/>
      <c r="V68" s="185"/>
      <c r="W68" s="185"/>
    </row>
    <row r="69" spans="2:23" s="121" customFormat="1" ht="16.5" customHeight="1" x14ac:dyDescent="0.2">
      <c r="B69" s="120"/>
      <c r="C69" s="73" t="s">
        <v>254</v>
      </c>
      <c r="D69" s="73" t="s">
        <v>209</v>
      </c>
      <c r="E69" s="74" t="s">
        <v>362</v>
      </c>
      <c r="F69" s="75" t="s">
        <v>363</v>
      </c>
      <c r="G69" s="76" t="s">
        <v>99</v>
      </c>
      <c r="H69" s="77">
        <v>9</v>
      </c>
      <c r="I69" s="78">
        <v>211.75</v>
      </c>
      <c r="J69" s="77">
        <v>1905.8</v>
      </c>
      <c r="K69" s="68">
        <v>0</v>
      </c>
      <c r="L69" s="69">
        <f t="shared" si="0"/>
        <v>211.75</v>
      </c>
      <c r="M69" s="273">
        <f t="shared" si="1"/>
        <v>0</v>
      </c>
      <c r="N69" s="71">
        <f t="shared" si="2"/>
        <v>9</v>
      </c>
      <c r="O69" s="72">
        <f t="shared" si="3"/>
        <v>211.75</v>
      </c>
      <c r="P69" s="274">
        <f t="shared" si="4"/>
        <v>1905.75</v>
      </c>
      <c r="Q69" s="237">
        <f t="shared" si="5"/>
        <v>9.64</v>
      </c>
      <c r="R69" s="185"/>
      <c r="S69" s="185"/>
      <c r="T69" s="185"/>
      <c r="U69" s="185"/>
      <c r="V69" s="185"/>
      <c r="W69" s="185"/>
    </row>
    <row r="70" spans="2:23" s="121" customFormat="1" ht="16.5" customHeight="1" x14ac:dyDescent="0.2">
      <c r="B70" s="120"/>
      <c r="C70" s="56" t="s">
        <v>258</v>
      </c>
      <c r="D70" s="56" t="s">
        <v>96</v>
      </c>
      <c r="E70" s="57" t="s">
        <v>365</v>
      </c>
      <c r="F70" s="58" t="s">
        <v>366</v>
      </c>
      <c r="G70" s="59" t="s">
        <v>99</v>
      </c>
      <c r="H70" s="60">
        <v>4</v>
      </c>
      <c r="I70" s="61">
        <v>808.86</v>
      </c>
      <c r="J70" s="60">
        <v>3235.4</v>
      </c>
      <c r="K70" s="68">
        <v>0</v>
      </c>
      <c r="L70" s="69">
        <f t="shared" si="0"/>
        <v>808.86</v>
      </c>
      <c r="M70" s="273">
        <f t="shared" si="1"/>
        <v>0</v>
      </c>
      <c r="N70" s="71">
        <f t="shared" si="2"/>
        <v>4</v>
      </c>
      <c r="O70" s="72">
        <f t="shared" si="3"/>
        <v>808.86</v>
      </c>
      <c r="P70" s="274">
        <f t="shared" si="4"/>
        <v>3235.44</v>
      </c>
      <c r="Q70" s="237">
        <f t="shared" si="5"/>
        <v>4.29</v>
      </c>
      <c r="R70" s="185"/>
      <c r="S70" s="185"/>
      <c r="T70" s="185"/>
      <c r="U70" s="185"/>
      <c r="V70" s="185"/>
      <c r="W70" s="185"/>
    </row>
    <row r="71" spans="2:23" s="121" customFormat="1" ht="16.5" customHeight="1" x14ac:dyDescent="0.2">
      <c r="B71" s="120"/>
      <c r="C71" s="73" t="s">
        <v>261</v>
      </c>
      <c r="D71" s="73" t="s">
        <v>209</v>
      </c>
      <c r="E71" s="74" t="s">
        <v>368</v>
      </c>
      <c r="F71" s="75" t="s">
        <v>369</v>
      </c>
      <c r="G71" s="76" t="s">
        <v>99</v>
      </c>
      <c r="H71" s="77">
        <v>4</v>
      </c>
      <c r="I71" s="78">
        <v>1530.92</v>
      </c>
      <c r="J71" s="77">
        <v>6123.7</v>
      </c>
      <c r="K71" s="68">
        <v>0</v>
      </c>
      <c r="L71" s="69">
        <f t="shared" si="0"/>
        <v>1530.92</v>
      </c>
      <c r="M71" s="273">
        <f t="shared" si="1"/>
        <v>0</v>
      </c>
      <c r="N71" s="71">
        <f t="shared" si="2"/>
        <v>4</v>
      </c>
      <c r="O71" s="72">
        <f t="shared" si="3"/>
        <v>1530.92</v>
      </c>
      <c r="P71" s="274">
        <f t="shared" si="4"/>
        <v>6123.68</v>
      </c>
      <c r="Q71" s="237">
        <f t="shared" si="5"/>
        <v>4.29</v>
      </c>
      <c r="R71" s="185"/>
      <c r="S71" s="185"/>
      <c r="T71" s="185"/>
      <c r="U71" s="185"/>
      <c r="V71" s="185"/>
      <c r="W71" s="185"/>
    </row>
    <row r="72" spans="2:23" s="121" customFormat="1" ht="16.5" customHeight="1" x14ac:dyDescent="0.2">
      <c r="B72" s="120"/>
      <c r="C72" s="56" t="s">
        <v>264</v>
      </c>
      <c r="D72" s="56" t="s">
        <v>96</v>
      </c>
      <c r="E72" s="57" t="s">
        <v>371</v>
      </c>
      <c r="F72" s="58" t="s">
        <v>372</v>
      </c>
      <c r="G72" s="59" t="s">
        <v>99</v>
      </c>
      <c r="H72" s="60">
        <v>4</v>
      </c>
      <c r="I72" s="61">
        <v>3234.12</v>
      </c>
      <c r="J72" s="60">
        <v>12936.5</v>
      </c>
      <c r="K72" s="68">
        <v>0</v>
      </c>
      <c r="L72" s="69">
        <f t="shared" si="0"/>
        <v>3234.12</v>
      </c>
      <c r="M72" s="273">
        <f t="shared" si="1"/>
        <v>0</v>
      </c>
      <c r="N72" s="71">
        <f t="shared" si="2"/>
        <v>4</v>
      </c>
      <c r="O72" s="72">
        <f t="shared" si="3"/>
        <v>3234.12</v>
      </c>
      <c r="P72" s="274">
        <f t="shared" si="4"/>
        <v>12936.48</v>
      </c>
      <c r="Q72" s="237">
        <f t="shared" si="5"/>
        <v>4.29</v>
      </c>
      <c r="R72" s="185"/>
      <c r="S72" s="185"/>
      <c r="T72" s="185"/>
      <c r="U72" s="185"/>
      <c r="V72" s="185"/>
      <c r="W72" s="185"/>
    </row>
    <row r="73" spans="2:23" s="121" customFormat="1" ht="16.5" customHeight="1" x14ac:dyDescent="0.2">
      <c r="B73" s="120"/>
      <c r="C73" s="73" t="s">
        <v>267</v>
      </c>
      <c r="D73" s="73" t="s">
        <v>209</v>
      </c>
      <c r="E73" s="74" t="s">
        <v>374</v>
      </c>
      <c r="F73" s="75" t="s">
        <v>375</v>
      </c>
      <c r="G73" s="76" t="s">
        <v>99</v>
      </c>
      <c r="H73" s="77">
        <v>4</v>
      </c>
      <c r="I73" s="78">
        <v>14588.41</v>
      </c>
      <c r="J73" s="77">
        <v>58353.599999999999</v>
      </c>
      <c r="K73" s="68">
        <v>0</v>
      </c>
      <c r="L73" s="69">
        <f t="shared" si="0"/>
        <v>14588.41</v>
      </c>
      <c r="M73" s="273">
        <f t="shared" si="1"/>
        <v>0</v>
      </c>
      <c r="N73" s="71">
        <f t="shared" si="2"/>
        <v>4</v>
      </c>
      <c r="O73" s="72">
        <f t="shared" si="3"/>
        <v>14588.41</v>
      </c>
      <c r="P73" s="274">
        <f t="shared" si="4"/>
        <v>58353.64</v>
      </c>
      <c r="Q73" s="237">
        <f t="shared" si="5"/>
        <v>4.29</v>
      </c>
      <c r="R73" s="185"/>
      <c r="S73" s="185"/>
      <c r="T73" s="185"/>
      <c r="U73" s="185"/>
      <c r="V73" s="185"/>
      <c r="W73" s="185"/>
    </row>
    <row r="74" spans="2:23" s="121" customFormat="1" ht="16.5" customHeight="1" x14ac:dyDescent="0.2">
      <c r="B74" s="120"/>
      <c r="C74" s="56" t="s">
        <v>270</v>
      </c>
      <c r="D74" s="56" t="s">
        <v>96</v>
      </c>
      <c r="E74" s="57" t="s">
        <v>377</v>
      </c>
      <c r="F74" s="58" t="s">
        <v>378</v>
      </c>
      <c r="G74" s="59" t="s">
        <v>99</v>
      </c>
      <c r="H74" s="60">
        <v>4</v>
      </c>
      <c r="I74" s="61">
        <v>485.32</v>
      </c>
      <c r="J74" s="60">
        <v>1941.3</v>
      </c>
      <c r="K74" s="68">
        <v>0</v>
      </c>
      <c r="L74" s="69">
        <f t="shared" si="0"/>
        <v>485.32</v>
      </c>
      <c r="M74" s="273">
        <f t="shared" si="1"/>
        <v>0</v>
      </c>
      <c r="N74" s="71">
        <f t="shared" si="2"/>
        <v>4</v>
      </c>
      <c r="O74" s="72">
        <f t="shared" si="3"/>
        <v>485.32</v>
      </c>
      <c r="P74" s="274">
        <f t="shared" si="4"/>
        <v>1941.28</v>
      </c>
      <c r="Q74" s="237">
        <f t="shared" si="5"/>
        <v>4.29</v>
      </c>
      <c r="R74" s="185"/>
      <c r="S74" s="185"/>
      <c r="T74" s="185"/>
      <c r="U74" s="185"/>
      <c r="V74" s="185"/>
      <c r="W74" s="185"/>
    </row>
    <row r="75" spans="2:23" s="121" customFormat="1" ht="16.5" customHeight="1" x14ac:dyDescent="0.2">
      <c r="B75" s="120"/>
      <c r="C75" s="73" t="s">
        <v>273</v>
      </c>
      <c r="D75" s="73" t="s">
        <v>209</v>
      </c>
      <c r="E75" s="74" t="s">
        <v>380</v>
      </c>
      <c r="F75" s="75" t="s">
        <v>381</v>
      </c>
      <c r="G75" s="76" t="s">
        <v>99</v>
      </c>
      <c r="H75" s="77">
        <v>4</v>
      </c>
      <c r="I75" s="78">
        <v>6510.34</v>
      </c>
      <c r="J75" s="77">
        <v>26041.4</v>
      </c>
      <c r="K75" s="68">
        <v>0</v>
      </c>
      <c r="L75" s="69">
        <f t="shared" si="0"/>
        <v>6510.34</v>
      </c>
      <c r="M75" s="273">
        <f t="shared" si="1"/>
        <v>0</v>
      </c>
      <c r="N75" s="71">
        <f t="shared" si="2"/>
        <v>4</v>
      </c>
      <c r="O75" s="72">
        <f t="shared" si="3"/>
        <v>6510.34</v>
      </c>
      <c r="P75" s="274">
        <f t="shared" si="4"/>
        <v>26041.360000000001</v>
      </c>
      <c r="Q75" s="237">
        <f t="shared" si="5"/>
        <v>4.29</v>
      </c>
      <c r="R75" s="185"/>
      <c r="S75" s="185"/>
      <c r="T75" s="185"/>
      <c r="U75" s="185"/>
      <c r="V75" s="185"/>
      <c r="W75" s="185"/>
    </row>
    <row r="76" spans="2:23" s="121" customFormat="1" ht="12" x14ac:dyDescent="0.2">
      <c r="B76" s="120"/>
      <c r="C76" s="56" t="s">
        <v>276</v>
      </c>
      <c r="D76" s="56" t="s">
        <v>96</v>
      </c>
      <c r="E76" s="57" t="s">
        <v>383</v>
      </c>
      <c r="F76" s="58" t="s">
        <v>384</v>
      </c>
      <c r="G76" s="59" t="s">
        <v>133</v>
      </c>
      <c r="H76" s="60">
        <v>101.9</v>
      </c>
      <c r="I76" s="61">
        <v>9.2100000000000009</v>
      </c>
      <c r="J76" s="60">
        <v>938.5</v>
      </c>
      <c r="K76" s="68">
        <f t="shared" ref="K76" si="10">ROUND(108.8/109.2*Q76-Q76,2)</f>
        <v>-0.4</v>
      </c>
      <c r="L76" s="69">
        <f t="shared" si="0"/>
        <v>9.2100000000000009</v>
      </c>
      <c r="M76" s="273">
        <f t="shared" si="1"/>
        <v>-3.6840000000000006</v>
      </c>
      <c r="N76" s="71">
        <f t="shared" si="2"/>
        <v>101.5</v>
      </c>
      <c r="O76" s="72">
        <f t="shared" si="3"/>
        <v>9.2100000000000009</v>
      </c>
      <c r="P76" s="274">
        <f t="shared" si="4"/>
        <v>934.81500000000005</v>
      </c>
      <c r="Q76" s="237">
        <f t="shared" si="5"/>
        <v>109.2</v>
      </c>
      <c r="R76" s="185"/>
      <c r="S76" s="188"/>
      <c r="T76" s="185"/>
      <c r="U76" s="185"/>
      <c r="V76" s="185"/>
      <c r="W76" s="185"/>
    </row>
    <row r="77" spans="2:23" s="170" customFormat="1" ht="22.9" customHeight="1" x14ac:dyDescent="0.2">
      <c r="B77" s="165"/>
      <c r="C77" s="252"/>
      <c r="D77" s="253" t="s">
        <v>4</v>
      </c>
      <c r="E77" s="254" t="s">
        <v>118</v>
      </c>
      <c r="F77" s="254" t="s">
        <v>385</v>
      </c>
      <c r="G77" s="252"/>
      <c r="H77" s="252"/>
      <c r="I77" s="255"/>
      <c r="J77" s="256">
        <f>+SUBTOTAL(9,J78:J79)</f>
        <v>480</v>
      </c>
      <c r="K77" s="261"/>
      <c r="L77" s="262"/>
      <c r="M77" s="279">
        <f>SUM(M78:M79)</f>
        <v>0</v>
      </c>
      <c r="N77" s="280"/>
      <c r="O77" s="262"/>
      <c r="P77" s="279">
        <f>SUM(P78:P79)</f>
        <v>479.97</v>
      </c>
      <c r="Q77" s="237"/>
      <c r="R77" s="187"/>
      <c r="S77" s="187"/>
      <c r="T77" s="187"/>
      <c r="U77" s="187"/>
      <c r="V77" s="187"/>
      <c r="W77" s="187"/>
    </row>
    <row r="78" spans="2:23" s="121" customFormat="1" ht="16.5" customHeight="1" x14ac:dyDescent="0.2">
      <c r="B78" s="120"/>
      <c r="C78" s="56" t="s">
        <v>279</v>
      </c>
      <c r="D78" s="56" t="s">
        <v>96</v>
      </c>
      <c r="E78" s="57" t="s">
        <v>387</v>
      </c>
      <c r="F78" s="58" t="s">
        <v>388</v>
      </c>
      <c r="G78" s="59" t="s">
        <v>133</v>
      </c>
      <c r="H78" s="60">
        <v>3</v>
      </c>
      <c r="I78" s="61">
        <v>87.65</v>
      </c>
      <c r="J78" s="60">
        <v>263</v>
      </c>
      <c r="K78" s="68">
        <v>0</v>
      </c>
      <c r="L78" s="69">
        <f t="shared" si="0"/>
        <v>87.65</v>
      </c>
      <c r="M78" s="273">
        <f t="shared" si="1"/>
        <v>0</v>
      </c>
      <c r="N78" s="71">
        <f t="shared" si="2"/>
        <v>3</v>
      </c>
      <c r="O78" s="72">
        <f t="shared" si="3"/>
        <v>87.65</v>
      </c>
      <c r="P78" s="274">
        <f t="shared" si="4"/>
        <v>262.95000000000005</v>
      </c>
      <c r="Q78" s="237">
        <f t="shared" si="5"/>
        <v>3.21</v>
      </c>
      <c r="R78" s="185"/>
      <c r="S78" s="185"/>
      <c r="T78" s="185"/>
      <c r="U78" s="185"/>
      <c r="V78" s="185"/>
      <c r="W78" s="185"/>
    </row>
    <row r="79" spans="2:23" s="121" customFormat="1" ht="16.5" customHeight="1" x14ac:dyDescent="0.2">
      <c r="B79" s="120"/>
      <c r="C79" s="56" t="s">
        <v>282</v>
      </c>
      <c r="D79" s="56" t="s">
        <v>96</v>
      </c>
      <c r="E79" s="57" t="s">
        <v>390</v>
      </c>
      <c r="F79" s="58" t="s">
        <v>391</v>
      </c>
      <c r="G79" s="59" t="s">
        <v>133</v>
      </c>
      <c r="H79" s="60">
        <v>3</v>
      </c>
      <c r="I79" s="61">
        <v>72.34</v>
      </c>
      <c r="J79" s="60">
        <v>217</v>
      </c>
      <c r="K79" s="68">
        <v>0</v>
      </c>
      <c r="L79" s="69">
        <f t="shared" si="0"/>
        <v>72.34</v>
      </c>
      <c r="M79" s="273">
        <f t="shared" si="1"/>
        <v>0</v>
      </c>
      <c r="N79" s="71">
        <f t="shared" si="2"/>
        <v>3</v>
      </c>
      <c r="O79" s="72">
        <f t="shared" si="3"/>
        <v>72.34</v>
      </c>
      <c r="P79" s="274">
        <f t="shared" si="4"/>
        <v>217.02</v>
      </c>
      <c r="Q79" s="237">
        <f t="shared" si="5"/>
        <v>3.21</v>
      </c>
      <c r="R79" s="185"/>
      <c r="S79" s="185"/>
      <c r="T79" s="185"/>
      <c r="U79" s="185"/>
      <c r="V79" s="185"/>
      <c r="W79" s="185"/>
    </row>
    <row r="80" spans="2:23" s="170" customFormat="1" ht="22.9" customHeight="1" x14ac:dyDescent="0.2">
      <c r="B80" s="165"/>
      <c r="C80" s="252"/>
      <c r="D80" s="253" t="s">
        <v>4</v>
      </c>
      <c r="E80" s="254" t="s">
        <v>398</v>
      </c>
      <c r="F80" s="254" t="s">
        <v>399</v>
      </c>
      <c r="G80" s="252"/>
      <c r="H80" s="252"/>
      <c r="I80" s="255"/>
      <c r="J80" s="256">
        <f>+SUBTOTAL(9,J81:J83)</f>
        <v>608.29999999999995</v>
      </c>
      <c r="K80" s="261"/>
      <c r="L80" s="262"/>
      <c r="M80" s="279">
        <f>SUM(M81:M83)</f>
        <v>0</v>
      </c>
      <c r="N80" s="280"/>
      <c r="O80" s="262"/>
      <c r="P80" s="279">
        <f>SUM(P81:P83)</f>
        <v>608.26419999999996</v>
      </c>
      <c r="Q80" s="237"/>
      <c r="R80" s="187"/>
      <c r="S80" s="187"/>
      <c r="T80" s="187"/>
      <c r="U80" s="187"/>
      <c r="V80" s="187"/>
      <c r="W80" s="187"/>
    </row>
    <row r="81" spans="2:23" s="121" customFormat="1" ht="16.5" customHeight="1" x14ac:dyDescent="0.2">
      <c r="B81" s="120"/>
      <c r="C81" s="56" t="s">
        <v>285</v>
      </c>
      <c r="D81" s="56" t="s">
        <v>96</v>
      </c>
      <c r="E81" s="57" t="s">
        <v>401</v>
      </c>
      <c r="F81" s="58" t="s">
        <v>402</v>
      </c>
      <c r="G81" s="59" t="s">
        <v>201</v>
      </c>
      <c r="H81" s="60">
        <v>1.55</v>
      </c>
      <c r="I81" s="61">
        <v>183.21</v>
      </c>
      <c r="J81" s="60">
        <v>284</v>
      </c>
      <c r="K81" s="68">
        <v>0</v>
      </c>
      <c r="L81" s="69">
        <f t="shared" ref="L81:L85" si="11">I81</f>
        <v>183.21</v>
      </c>
      <c r="M81" s="273">
        <f t="shared" ref="M81:M85" si="12">K81*L81</f>
        <v>0</v>
      </c>
      <c r="N81" s="71">
        <f t="shared" ref="N81:N85" si="13">H81+K81</f>
        <v>1.55</v>
      </c>
      <c r="O81" s="72">
        <f t="shared" ref="O81:O85" si="14">I81</f>
        <v>183.21</v>
      </c>
      <c r="P81" s="274">
        <f t="shared" ref="P81:P85" si="15">N81*O81</f>
        <v>283.97550000000001</v>
      </c>
      <c r="Q81" s="237">
        <v>0</v>
      </c>
      <c r="R81" s="185"/>
      <c r="S81" s="185"/>
      <c r="T81" s="185"/>
      <c r="U81" s="185"/>
      <c r="V81" s="185"/>
      <c r="W81" s="185"/>
    </row>
    <row r="82" spans="2:23" s="121" customFormat="1" ht="16.5" customHeight="1" x14ac:dyDescent="0.2">
      <c r="B82" s="120"/>
      <c r="C82" s="56" t="s">
        <v>289</v>
      </c>
      <c r="D82" s="56" t="s">
        <v>96</v>
      </c>
      <c r="E82" s="57" t="s">
        <v>407</v>
      </c>
      <c r="F82" s="58" t="s">
        <v>408</v>
      </c>
      <c r="G82" s="59" t="s">
        <v>201</v>
      </c>
      <c r="H82" s="60">
        <v>0.82</v>
      </c>
      <c r="I82" s="61">
        <v>257.77999999999997</v>
      </c>
      <c r="J82" s="60">
        <v>211.4</v>
      </c>
      <c r="K82" s="68">
        <v>0</v>
      </c>
      <c r="L82" s="69">
        <f t="shared" si="11"/>
        <v>257.77999999999997</v>
      </c>
      <c r="M82" s="273">
        <f t="shared" si="12"/>
        <v>0</v>
      </c>
      <c r="N82" s="71">
        <f t="shared" si="13"/>
        <v>0.82</v>
      </c>
      <c r="O82" s="72">
        <f t="shared" si="14"/>
        <v>257.77999999999997</v>
      </c>
      <c r="P82" s="274">
        <f t="shared" si="15"/>
        <v>211.37959999999995</v>
      </c>
      <c r="Q82" s="237">
        <f t="shared" ref="Q82:Q85" si="16">ROUND(109.2/101.9*H82,2)</f>
        <v>0.88</v>
      </c>
      <c r="R82" s="185"/>
      <c r="S82" s="185"/>
      <c r="T82" s="185"/>
      <c r="U82" s="185"/>
      <c r="V82" s="185"/>
      <c r="W82" s="185"/>
    </row>
    <row r="83" spans="2:23" s="121" customFormat="1" ht="16.5" customHeight="1" x14ac:dyDescent="0.2">
      <c r="B83" s="120"/>
      <c r="C83" s="56" t="s">
        <v>292</v>
      </c>
      <c r="D83" s="56" t="s">
        <v>96</v>
      </c>
      <c r="E83" s="57" t="s">
        <v>410</v>
      </c>
      <c r="F83" s="58" t="s">
        <v>411</v>
      </c>
      <c r="G83" s="59" t="s">
        <v>201</v>
      </c>
      <c r="H83" s="60">
        <v>0.73</v>
      </c>
      <c r="I83" s="61">
        <v>154.66999999999999</v>
      </c>
      <c r="J83" s="60">
        <v>112.9</v>
      </c>
      <c r="K83" s="68">
        <f t="shared" ref="K83" si="17">ROUND(108.8/109.2*Q83-Q83,2)</f>
        <v>0</v>
      </c>
      <c r="L83" s="69">
        <f t="shared" si="11"/>
        <v>154.66999999999999</v>
      </c>
      <c r="M83" s="273">
        <f t="shared" si="12"/>
        <v>0</v>
      </c>
      <c r="N83" s="71">
        <f t="shared" si="13"/>
        <v>0.73</v>
      </c>
      <c r="O83" s="72">
        <f t="shared" si="14"/>
        <v>154.66999999999999</v>
      </c>
      <c r="P83" s="274">
        <f t="shared" si="15"/>
        <v>112.9091</v>
      </c>
      <c r="Q83" s="237">
        <f t="shared" si="16"/>
        <v>0.78</v>
      </c>
      <c r="R83" s="185"/>
      <c r="S83" s="185"/>
      <c r="T83" s="185"/>
      <c r="U83" s="185"/>
      <c r="V83" s="185"/>
      <c r="W83" s="185"/>
    </row>
    <row r="84" spans="2:23" s="170" customFormat="1" ht="22.9" customHeight="1" x14ac:dyDescent="0.2">
      <c r="B84" s="165"/>
      <c r="C84" s="252"/>
      <c r="D84" s="253" t="s">
        <v>4</v>
      </c>
      <c r="E84" s="254" t="s">
        <v>412</v>
      </c>
      <c r="F84" s="254" t="s">
        <v>413</v>
      </c>
      <c r="G84" s="252"/>
      <c r="H84" s="252"/>
      <c r="I84" s="255"/>
      <c r="J84" s="256">
        <f>+SUBTOTAL(9,J85)</f>
        <v>20408</v>
      </c>
      <c r="K84" s="261"/>
      <c r="L84" s="262"/>
      <c r="M84" s="279">
        <f>M85</f>
        <v>-80.093999999999994</v>
      </c>
      <c r="N84" s="280"/>
      <c r="O84" s="262"/>
      <c r="P84" s="279">
        <f>P85</f>
        <v>20327.857200000002</v>
      </c>
      <c r="Q84" s="237"/>
      <c r="R84" s="187"/>
      <c r="S84" s="187"/>
      <c r="T84" s="187"/>
      <c r="U84" s="187"/>
      <c r="V84" s="187"/>
      <c r="W84" s="187"/>
    </row>
    <row r="85" spans="2:23" s="121" customFormat="1" ht="16.5" customHeight="1" x14ac:dyDescent="0.2">
      <c r="B85" s="120"/>
      <c r="C85" s="56" t="s">
        <v>295</v>
      </c>
      <c r="D85" s="56" t="s">
        <v>96</v>
      </c>
      <c r="E85" s="57" t="s">
        <v>415</v>
      </c>
      <c r="F85" s="58" t="s">
        <v>416</v>
      </c>
      <c r="G85" s="59" t="s">
        <v>201</v>
      </c>
      <c r="H85" s="60">
        <v>178.36</v>
      </c>
      <c r="I85" s="61">
        <v>114.42</v>
      </c>
      <c r="J85" s="60">
        <v>20408</v>
      </c>
      <c r="K85" s="68">
        <f t="shared" ref="K85" si="18">ROUND(108.8/109.2*Q85-Q85,2)</f>
        <v>-0.7</v>
      </c>
      <c r="L85" s="69">
        <f t="shared" si="11"/>
        <v>114.42</v>
      </c>
      <c r="M85" s="273">
        <f t="shared" si="12"/>
        <v>-80.093999999999994</v>
      </c>
      <c r="N85" s="71">
        <f t="shared" si="13"/>
        <v>177.66000000000003</v>
      </c>
      <c r="O85" s="72">
        <f t="shared" si="14"/>
        <v>114.42</v>
      </c>
      <c r="P85" s="274">
        <f t="shared" si="15"/>
        <v>20327.857200000002</v>
      </c>
      <c r="Q85" s="237">
        <f t="shared" si="16"/>
        <v>191.14</v>
      </c>
      <c r="R85" s="185"/>
      <c r="S85" s="185"/>
      <c r="T85" s="185"/>
      <c r="U85" s="185"/>
      <c r="V85" s="185"/>
      <c r="W85" s="185"/>
    </row>
    <row r="86" spans="2:23" s="121" customFormat="1" ht="6.95" customHeight="1" x14ac:dyDescent="0.2">
      <c r="B86" s="120"/>
      <c r="C86" s="120"/>
      <c r="D86" s="120"/>
      <c r="E86" s="120"/>
      <c r="F86" s="120"/>
      <c r="G86" s="120"/>
      <c r="H86" s="120"/>
      <c r="I86" s="153"/>
      <c r="J86" s="120"/>
      <c r="Q86" s="185"/>
      <c r="R86" s="185"/>
      <c r="S86" s="185"/>
      <c r="T86" s="185"/>
      <c r="U86" s="185"/>
      <c r="V86" s="185"/>
      <c r="W86" s="185"/>
    </row>
    <row r="87" spans="2:23" ht="18" customHeight="1" x14ac:dyDescent="0.2">
      <c r="D87" s="42"/>
      <c r="E87" s="43" t="s">
        <v>878</v>
      </c>
      <c r="F87" s="44"/>
      <c r="G87" s="44"/>
      <c r="H87" s="45"/>
      <c r="I87" s="44"/>
      <c r="J87" s="46">
        <f>J12</f>
        <v>845411.10000000021</v>
      </c>
      <c r="K87" s="49"/>
      <c r="L87" s="46"/>
      <c r="M87" s="281">
        <f>M84+M80+M77+M55+M49+M40+M37+M14</f>
        <v>-2740.9436999999998</v>
      </c>
      <c r="N87" s="281"/>
      <c r="O87" s="281"/>
      <c r="P87" s="281">
        <f t="shared" ref="P87" si="19">P84+P80+P77+P55+P49+P40+P37+P14</f>
        <v>842669.57359999989</v>
      </c>
      <c r="Q87" s="199"/>
      <c r="R87" s="199"/>
      <c r="S87" s="199"/>
      <c r="T87" s="199"/>
      <c r="U87" s="199"/>
      <c r="V87" s="199"/>
      <c r="W87" s="199"/>
    </row>
    <row r="88" spans="2:23" ht="12.75" x14ac:dyDescent="0.2">
      <c r="H88" s="50"/>
      <c r="I88" s="8"/>
      <c r="J88" s="9"/>
      <c r="Q88" s="199"/>
      <c r="R88" s="199"/>
      <c r="S88" s="199"/>
      <c r="T88" s="199"/>
      <c r="U88" s="199"/>
      <c r="V88" s="199"/>
      <c r="W88" s="199"/>
    </row>
    <row r="89" spans="2:23" ht="14.25" x14ac:dyDescent="0.2">
      <c r="F89" s="6" t="s">
        <v>849</v>
      </c>
      <c r="G89" s="6"/>
      <c r="H89" s="320" t="s">
        <v>1224</v>
      </c>
      <c r="I89" s="50"/>
      <c r="K89" s="6"/>
      <c r="L89" s="6" t="s">
        <v>848</v>
      </c>
      <c r="R89" s="199"/>
      <c r="S89" s="199"/>
      <c r="T89" s="199"/>
      <c r="U89" s="199"/>
      <c r="V89" s="199"/>
      <c r="W89" s="199"/>
    </row>
    <row r="90" spans="2:23" x14ac:dyDescent="0.2">
      <c r="Q90" s="199"/>
      <c r="R90" s="199"/>
      <c r="S90" s="199"/>
      <c r="T90" s="199"/>
      <c r="U90" s="199"/>
      <c r="V90" s="199"/>
      <c r="W90" s="199"/>
    </row>
  </sheetData>
  <sheetProtection formatColumns="0" formatRows="0" autoFilter="0"/>
  <protectedRanges>
    <protectedRange password="CCAA" sqref="K8" name="Oblast1_1_1"/>
    <protectedRange password="CCAA" sqref="D9:H11" name="Oblast1_2"/>
  </protectedRanges>
  <autoFilter ref="C10:P85" xr:uid="{00000000-0009-0000-0000-000003000000}"/>
  <mergeCells count="2">
    <mergeCell ref="K9:M9"/>
    <mergeCell ref="N9:P9"/>
  </mergeCells>
  <pageMargins left="0.39370078740157483" right="0.39370078740157483" top="0.39370078740157483" bottom="0.39370078740157483" header="0" footer="0"/>
  <pageSetup paperSize="9" scale="61" fitToHeight="0" orientation="landscape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V84"/>
  <sheetViews>
    <sheetView showGridLines="0" view="pageBreakPreview" zoomScale="85" zoomScaleNormal="85" zoomScaleSheetLayoutView="85" workbookViewId="0">
      <selection activeCell="L8" sqref="L8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12.83203125" style="8" customWidth="1"/>
    <col min="12" max="12" width="15.6640625" style="8" bestFit="1" customWidth="1"/>
    <col min="13" max="13" width="21" style="8" bestFit="1" customWidth="1"/>
    <col min="14" max="14" width="12.83203125" style="8" customWidth="1"/>
    <col min="15" max="15" width="18.83203125" style="8" bestFit="1" customWidth="1"/>
    <col min="16" max="16" width="21" style="8" bestFit="1" customWidth="1"/>
    <col min="17" max="32" width="12.83203125" style="8" customWidth="1"/>
    <col min="33" max="16384" width="9.33203125" style="8"/>
  </cols>
  <sheetData>
    <row r="1" spans="2:20" ht="18.95" customHeight="1" x14ac:dyDescent="0.2">
      <c r="F1" s="11"/>
      <c r="G1" s="89"/>
      <c r="H1" s="88"/>
      <c r="I1" s="8"/>
      <c r="J1" s="9"/>
    </row>
    <row r="2" spans="2:20" s="88" customFormat="1" ht="18" customHeight="1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</row>
    <row r="3" spans="2:20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20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20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20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20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20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A3 - Stoka A3</v>
      </c>
      <c r="M8" s="150"/>
      <c r="O8" s="151"/>
    </row>
    <row r="9" spans="2:20" s="15" customFormat="1" ht="20.100000000000001" customHeight="1" x14ac:dyDescent="0.2">
      <c r="B9" s="174"/>
      <c r="C9" s="174"/>
      <c r="D9" s="176"/>
      <c r="E9" s="176"/>
      <c r="F9" s="176"/>
      <c r="G9" s="176"/>
      <c r="H9" s="176"/>
      <c r="I9" s="177"/>
      <c r="J9" s="178"/>
      <c r="K9" s="339" t="s">
        <v>1208</v>
      </c>
      <c r="L9" s="339"/>
      <c r="M9" s="340"/>
      <c r="N9" s="341" t="s">
        <v>1215</v>
      </c>
      <c r="O9" s="341"/>
      <c r="P9" s="342"/>
    </row>
    <row r="10" spans="2:20" s="15" customFormat="1" ht="24" customHeight="1" x14ac:dyDescent="0.2">
      <c r="B10" s="16"/>
      <c r="C10" s="16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S10" s="189" t="s">
        <v>928</v>
      </c>
      <c r="T10" s="189" t="s">
        <v>935</v>
      </c>
    </row>
    <row r="11" spans="2:20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20" s="121" customFormat="1" ht="22.9" customHeight="1" x14ac:dyDescent="0.25">
      <c r="B12" s="120"/>
      <c r="C12" s="152" t="s">
        <v>419</v>
      </c>
      <c r="D12" s="120"/>
      <c r="E12" s="120"/>
      <c r="F12" s="120"/>
      <c r="G12" s="120"/>
      <c r="H12" s="120"/>
      <c r="I12" s="153"/>
      <c r="J12" s="154">
        <f>+SUBTOTAL(9,J13:J80)</f>
        <v>1743664.4999999993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20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+SUBTOTAL(9,J14:J80)</f>
        <v>1743664.4999999993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20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+SUBTOTAL(9,J15:J36)</f>
        <v>825138.20000000007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SUM(M15:M36)</f>
        <v>-2661.1161000000002</v>
      </c>
      <c r="N14" s="278" t="str">
        <f>IF(ISBLANK(H14),"",H14-K14)</f>
        <v/>
      </c>
      <c r="O14" s="272" t="str">
        <f>IF(ISBLANK(H14),"",J14-L14)</f>
        <v/>
      </c>
      <c r="P14" s="272">
        <f>SUM(P15:P36)</f>
        <v>822477.34609999997</v>
      </c>
      <c r="Q14" s="218" t="s">
        <v>1216</v>
      </c>
    </row>
    <row r="15" spans="2:20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168.74</v>
      </c>
      <c r="I15" s="61">
        <v>40.770000000000003</v>
      </c>
      <c r="J15" s="60">
        <v>6879.5</v>
      </c>
      <c r="K15" s="68">
        <f>ROUND(152.9/153.4*Q15-Q15,2)</f>
        <v>-0.56999999999999995</v>
      </c>
      <c r="L15" s="69">
        <f>I15</f>
        <v>40.770000000000003</v>
      </c>
      <c r="M15" s="273">
        <f>K15*L15</f>
        <v>-23.238900000000001</v>
      </c>
      <c r="N15" s="71">
        <f>H15+K15</f>
        <v>168.17000000000002</v>
      </c>
      <c r="O15" s="72">
        <f>I15</f>
        <v>40.770000000000003</v>
      </c>
      <c r="P15" s="274">
        <f>N15*O15</f>
        <v>6856.2909000000009</v>
      </c>
      <c r="Q15" s="237">
        <f>ROUND(153.4/148.58*H15,2)</f>
        <v>174.21</v>
      </c>
      <c r="R15" s="194"/>
    </row>
    <row r="16" spans="2:20" s="121" customFormat="1" ht="16.5" customHeight="1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322.14</v>
      </c>
      <c r="I16" s="61">
        <v>55.24</v>
      </c>
      <c r="J16" s="60">
        <v>17795</v>
      </c>
      <c r="K16" s="68">
        <v>0</v>
      </c>
      <c r="L16" s="69">
        <f t="shared" ref="L16:L79" si="0">I16</f>
        <v>55.24</v>
      </c>
      <c r="M16" s="273">
        <f t="shared" ref="M16:M78" si="1">K16*L16</f>
        <v>0</v>
      </c>
      <c r="N16" s="71">
        <f t="shared" ref="N16:N79" si="2">H16+K16</f>
        <v>322.14</v>
      </c>
      <c r="O16" s="72">
        <f t="shared" ref="O16:O79" si="3">I16</f>
        <v>55.24</v>
      </c>
      <c r="P16" s="274">
        <f t="shared" ref="P16:P78" si="4">N16*O16</f>
        <v>17795.013599999998</v>
      </c>
      <c r="Q16" s="237">
        <f t="shared" ref="Q16:Q78" si="5">ROUND(153.4/148.58*H16,2)</f>
        <v>332.59</v>
      </c>
      <c r="R16" s="194"/>
    </row>
    <row r="17" spans="2:22" s="121" customFormat="1" ht="16.5" customHeight="1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168.74</v>
      </c>
      <c r="I17" s="61">
        <v>98.64</v>
      </c>
      <c r="J17" s="60">
        <v>16644.5</v>
      </c>
      <c r="K17" s="68">
        <v>0</v>
      </c>
      <c r="L17" s="69">
        <f t="shared" si="0"/>
        <v>98.64</v>
      </c>
      <c r="M17" s="273">
        <f t="shared" si="1"/>
        <v>0</v>
      </c>
      <c r="N17" s="71">
        <f t="shared" si="2"/>
        <v>168.74</v>
      </c>
      <c r="O17" s="72">
        <f t="shared" si="3"/>
        <v>98.64</v>
      </c>
      <c r="P17" s="274">
        <f t="shared" si="4"/>
        <v>16644.513600000002</v>
      </c>
      <c r="Q17" s="237">
        <f t="shared" si="5"/>
        <v>174.21</v>
      </c>
      <c r="R17" s="194"/>
    </row>
    <row r="18" spans="2:22" s="121" customFormat="1" ht="16.5" customHeight="1" x14ac:dyDescent="0.2">
      <c r="B18" s="120"/>
      <c r="C18" s="56" t="s">
        <v>105</v>
      </c>
      <c r="D18" s="56" t="s">
        <v>96</v>
      </c>
      <c r="E18" s="57" t="s">
        <v>142</v>
      </c>
      <c r="F18" s="58" t="s">
        <v>143</v>
      </c>
      <c r="G18" s="59" t="s">
        <v>133</v>
      </c>
      <c r="H18" s="60">
        <v>6.6</v>
      </c>
      <c r="I18" s="61">
        <v>170.98</v>
      </c>
      <c r="J18" s="60">
        <v>1128.5</v>
      </c>
      <c r="K18" s="68">
        <f>ROUND(152.9/153.4*Q18-Q18,2)</f>
        <v>-0.02</v>
      </c>
      <c r="L18" s="69">
        <f t="shared" si="0"/>
        <v>170.98</v>
      </c>
      <c r="M18" s="273">
        <f t="shared" si="1"/>
        <v>-3.4196</v>
      </c>
      <c r="N18" s="71">
        <f t="shared" si="2"/>
        <v>6.58</v>
      </c>
      <c r="O18" s="72">
        <f t="shared" si="3"/>
        <v>170.98</v>
      </c>
      <c r="P18" s="274">
        <f t="shared" si="4"/>
        <v>1125.0483999999999</v>
      </c>
      <c r="Q18" s="237">
        <f t="shared" si="5"/>
        <v>6.81</v>
      </c>
      <c r="R18" s="194"/>
    </row>
    <row r="19" spans="2:22" s="121" customFormat="1" ht="16.5" customHeight="1" x14ac:dyDescent="0.2">
      <c r="B19" s="120"/>
      <c r="C19" s="56" t="s">
        <v>109</v>
      </c>
      <c r="D19" s="56" t="s">
        <v>96</v>
      </c>
      <c r="E19" s="57" t="s">
        <v>145</v>
      </c>
      <c r="F19" s="58" t="s">
        <v>146</v>
      </c>
      <c r="G19" s="59" t="s">
        <v>133</v>
      </c>
      <c r="H19" s="60">
        <v>6.6</v>
      </c>
      <c r="I19" s="61">
        <v>147.30000000000001</v>
      </c>
      <c r="J19" s="60">
        <v>972.2</v>
      </c>
      <c r="K19" s="68">
        <f t="shared" ref="K19:K39" si="6">ROUND(152.9/153.4*Q19-Q19,2)</f>
        <v>-0.02</v>
      </c>
      <c r="L19" s="69">
        <f t="shared" si="0"/>
        <v>147.30000000000001</v>
      </c>
      <c r="M19" s="273">
        <f t="shared" si="1"/>
        <v>-2.9460000000000002</v>
      </c>
      <c r="N19" s="71">
        <f t="shared" si="2"/>
        <v>6.58</v>
      </c>
      <c r="O19" s="72">
        <f t="shared" si="3"/>
        <v>147.30000000000001</v>
      </c>
      <c r="P19" s="274">
        <f t="shared" si="4"/>
        <v>969.23400000000004</v>
      </c>
      <c r="Q19" s="237">
        <f t="shared" si="5"/>
        <v>6.81</v>
      </c>
      <c r="R19" s="194"/>
    </row>
    <row r="20" spans="2:22" s="121" customFormat="1" ht="16.5" customHeight="1" x14ac:dyDescent="0.2">
      <c r="B20" s="120"/>
      <c r="C20" s="56" t="s">
        <v>112</v>
      </c>
      <c r="D20" s="56" t="s">
        <v>96</v>
      </c>
      <c r="E20" s="57" t="s">
        <v>155</v>
      </c>
      <c r="F20" s="58" t="s">
        <v>156</v>
      </c>
      <c r="G20" s="59" t="s">
        <v>150</v>
      </c>
      <c r="H20" s="60">
        <v>53.09</v>
      </c>
      <c r="I20" s="61">
        <v>257.77999999999997</v>
      </c>
      <c r="J20" s="60">
        <v>13685.5</v>
      </c>
      <c r="K20" s="68">
        <f t="shared" si="6"/>
        <v>-0.18</v>
      </c>
      <c r="L20" s="69">
        <f t="shared" si="0"/>
        <v>257.77999999999997</v>
      </c>
      <c r="M20" s="273">
        <f t="shared" si="1"/>
        <v>-46.400399999999991</v>
      </c>
      <c r="N20" s="71">
        <f t="shared" si="2"/>
        <v>52.910000000000004</v>
      </c>
      <c r="O20" s="72">
        <f t="shared" si="3"/>
        <v>257.77999999999997</v>
      </c>
      <c r="P20" s="274">
        <f t="shared" si="4"/>
        <v>13639.139799999999</v>
      </c>
      <c r="Q20" s="237">
        <f t="shared" si="5"/>
        <v>54.81</v>
      </c>
      <c r="R20" s="194"/>
    </row>
    <row r="21" spans="2:22" s="121" customFormat="1" ht="16.5" customHeight="1" x14ac:dyDescent="0.2">
      <c r="B21" s="120"/>
      <c r="C21" s="56" t="s">
        <v>115</v>
      </c>
      <c r="D21" s="56" t="s">
        <v>96</v>
      </c>
      <c r="E21" s="57" t="s">
        <v>157</v>
      </c>
      <c r="F21" s="58" t="s">
        <v>158</v>
      </c>
      <c r="G21" s="59" t="s">
        <v>150</v>
      </c>
      <c r="H21" s="60">
        <v>86.25</v>
      </c>
      <c r="I21" s="61">
        <v>257.77999999999997</v>
      </c>
      <c r="J21" s="60">
        <v>22233.5</v>
      </c>
      <c r="K21" s="68">
        <f t="shared" si="6"/>
        <v>-0.28999999999999998</v>
      </c>
      <c r="L21" s="69">
        <f t="shared" si="0"/>
        <v>257.77999999999997</v>
      </c>
      <c r="M21" s="273">
        <f t="shared" si="1"/>
        <v>-74.756199999999993</v>
      </c>
      <c r="N21" s="71">
        <f t="shared" si="2"/>
        <v>85.96</v>
      </c>
      <c r="O21" s="72">
        <f t="shared" si="3"/>
        <v>257.77999999999997</v>
      </c>
      <c r="P21" s="274">
        <f t="shared" si="4"/>
        <v>22158.768799999994</v>
      </c>
      <c r="Q21" s="237">
        <f t="shared" si="5"/>
        <v>89.05</v>
      </c>
      <c r="R21" s="194"/>
    </row>
    <row r="22" spans="2:22" s="121" customFormat="1" ht="16.5" customHeight="1" x14ac:dyDescent="0.2">
      <c r="B22" s="120"/>
      <c r="C22" s="56" t="s">
        <v>118</v>
      </c>
      <c r="D22" s="56" t="s">
        <v>96</v>
      </c>
      <c r="E22" s="57" t="s">
        <v>160</v>
      </c>
      <c r="F22" s="58" t="s">
        <v>161</v>
      </c>
      <c r="G22" s="59" t="s">
        <v>150</v>
      </c>
      <c r="H22" s="60">
        <v>25.88</v>
      </c>
      <c r="I22" s="61">
        <v>13.15</v>
      </c>
      <c r="J22" s="60">
        <v>340.3</v>
      </c>
      <c r="K22" s="68">
        <f t="shared" si="6"/>
        <v>-0.09</v>
      </c>
      <c r="L22" s="69">
        <f t="shared" si="0"/>
        <v>13.15</v>
      </c>
      <c r="M22" s="273">
        <f t="shared" si="1"/>
        <v>-1.1835</v>
      </c>
      <c r="N22" s="71">
        <f t="shared" si="2"/>
        <v>25.79</v>
      </c>
      <c r="O22" s="72">
        <f t="shared" si="3"/>
        <v>13.15</v>
      </c>
      <c r="P22" s="274">
        <f t="shared" si="4"/>
        <v>339.13850000000002</v>
      </c>
      <c r="Q22" s="237">
        <f t="shared" si="5"/>
        <v>26.72</v>
      </c>
      <c r="R22" s="194"/>
    </row>
    <row r="23" spans="2:22" s="121" customFormat="1" ht="16.5" customHeight="1" x14ac:dyDescent="0.2">
      <c r="B23" s="120"/>
      <c r="C23" s="56" t="s">
        <v>121</v>
      </c>
      <c r="D23" s="56" t="s">
        <v>96</v>
      </c>
      <c r="E23" s="57" t="s">
        <v>163</v>
      </c>
      <c r="F23" s="58" t="s">
        <v>164</v>
      </c>
      <c r="G23" s="59" t="s">
        <v>150</v>
      </c>
      <c r="H23" s="60">
        <v>70.150000000000006</v>
      </c>
      <c r="I23" s="61">
        <v>315.64999999999998</v>
      </c>
      <c r="J23" s="60">
        <v>22142.799999999999</v>
      </c>
      <c r="K23" s="68">
        <f t="shared" si="6"/>
        <v>-0.24</v>
      </c>
      <c r="L23" s="69">
        <f t="shared" si="0"/>
        <v>315.64999999999998</v>
      </c>
      <c r="M23" s="273">
        <f t="shared" si="1"/>
        <v>-75.755999999999986</v>
      </c>
      <c r="N23" s="71">
        <f t="shared" si="2"/>
        <v>69.910000000000011</v>
      </c>
      <c r="O23" s="72">
        <f t="shared" si="3"/>
        <v>315.64999999999998</v>
      </c>
      <c r="P23" s="274">
        <f t="shared" si="4"/>
        <v>22067.091500000002</v>
      </c>
      <c r="Q23" s="237">
        <f t="shared" si="5"/>
        <v>72.430000000000007</v>
      </c>
      <c r="R23" s="194"/>
    </row>
    <row r="24" spans="2:22" s="121" customFormat="1" ht="16.5" customHeight="1" x14ac:dyDescent="0.2">
      <c r="B24" s="120"/>
      <c r="C24" s="56" t="s">
        <v>124</v>
      </c>
      <c r="D24" s="56" t="s">
        <v>96</v>
      </c>
      <c r="E24" s="57" t="s">
        <v>166</v>
      </c>
      <c r="F24" s="58" t="s">
        <v>167</v>
      </c>
      <c r="G24" s="59" t="s">
        <v>150</v>
      </c>
      <c r="H24" s="60">
        <v>21.05</v>
      </c>
      <c r="I24" s="61">
        <v>15.78</v>
      </c>
      <c r="J24" s="60">
        <v>332.2</v>
      </c>
      <c r="K24" s="68">
        <f t="shared" si="6"/>
        <v>-7.0000000000000007E-2</v>
      </c>
      <c r="L24" s="69">
        <f t="shared" si="0"/>
        <v>15.78</v>
      </c>
      <c r="M24" s="273">
        <f t="shared" si="1"/>
        <v>-1.1046</v>
      </c>
      <c r="N24" s="71">
        <f t="shared" si="2"/>
        <v>20.98</v>
      </c>
      <c r="O24" s="72">
        <f t="shared" si="3"/>
        <v>15.78</v>
      </c>
      <c r="P24" s="274">
        <f t="shared" si="4"/>
        <v>331.06439999999998</v>
      </c>
      <c r="Q24" s="237">
        <f t="shared" si="5"/>
        <v>21.73</v>
      </c>
      <c r="R24" s="194"/>
    </row>
    <row r="25" spans="2:22" s="121" customFormat="1" ht="25.15" customHeight="1" x14ac:dyDescent="0.2">
      <c r="B25" s="120"/>
      <c r="C25" s="56" t="s">
        <v>127</v>
      </c>
      <c r="D25" s="56" t="s">
        <v>96</v>
      </c>
      <c r="E25" s="57" t="s">
        <v>169</v>
      </c>
      <c r="F25" s="58" t="s">
        <v>170</v>
      </c>
      <c r="G25" s="59" t="s">
        <v>150</v>
      </c>
      <c r="H25" s="60">
        <v>24.76</v>
      </c>
      <c r="I25" s="61">
        <v>837.79</v>
      </c>
      <c r="J25" s="60">
        <v>20743.7</v>
      </c>
      <c r="K25" s="68">
        <f t="shared" si="6"/>
        <v>-0.08</v>
      </c>
      <c r="L25" s="69">
        <f t="shared" si="0"/>
        <v>837.79</v>
      </c>
      <c r="M25" s="273">
        <f t="shared" si="1"/>
        <v>-67.023200000000003</v>
      </c>
      <c r="N25" s="71">
        <f t="shared" si="2"/>
        <v>24.680000000000003</v>
      </c>
      <c r="O25" s="72">
        <f t="shared" si="3"/>
        <v>837.79</v>
      </c>
      <c r="P25" s="274">
        <f t="shared" si="4"/>
        <v>20676.657200000001</v>
      </c>
      <c r="Q25" s="237">
        <f t="shared" si="5"/>
        <v>25.56</v>
      </c>
      <c r="R25" s="194"/>
    </row>
    <row r="26" spans="2:22" s="121" customFormat="1" ht="28.9" customHeight="1" x14ac:dyDescent="0.2">
      <c r="B26" s="120"/>
      <c r="C26" s="56" t="s">
        <v>130</v>
      </c>
      <c r="D26" s="56" t="s">
        <v>96</v>
      </c>
      <c r="E26" s="57" t="s">
        <v>172</v>
      </c>
      <c r="F26" s="58" t="s">
        <v>173</v>
      </c>
      <c r="G26" s="59" t="s">
        <v>150</v>
      </c>
      <c r="H26" s="60">
        <v>231.51</v>
      </c>
      <c r="I26" s="61">
        <v>1116.6199999999999</v>
      </c>
      <c r="J26" s="60">
        <v>258508.7</v>
      </c>
      <c r="K26" s="68">
        <f t="shared" si="6"/>
        <v>-0.78</v>
      </c>
      <c r="L26" s="69">
        <f t="shared" si="0"/>
        <v>1116.6199999999999</v>
      </c>
      <c r="M26" s="273">
        <f t="shared" si="1"/>
        <v>-870.96359999999993</v>
      </c>
      <c r="N26" s="71">
        <f t="shared" si="2"/>
        <v>230.73</v>
      </c>
      <c r="O26" s="72">
        <f t="shared" si="3"/>
        <v>1116.6199999999999</v>
      </c>
      <c r="P26" s="274">
        <f t="shared" si="4"/>
        <v>257637.73259999996</v>
      </c>
      <c r="Q26" s="237">
        <f t="shared" si="5"/>
        <v>239.02</v>
      </c>
      <c r="R26" s="194"/>
      <c r="S26" s="196"/>
      <c r="T26" s="195"/>
      <c r="U26" s="194"/>
    </row>
    <row r="27" spans="2:22" s="121" customFormat="1" ht="12" x14ac:dyDescent="0.2">
      <c r="B27" s="120"/>
      <c r="C27" s="56" t="s">
        <v>134</v>
      </c>
      <c r="D27" s="56" t="s">
        <v>96</v>
      </c>
      <c r="E27" s="57" t="s">
        <v>175</v>
      </c>
      <c r="F27" s="58" t="s">
        <v>176</v>
      </c>
      <c r="G27" s="59" t="s">
        <v>108</v>
      </c>
      <c r="H27" s="60">
        <v>826.55</v>
      </c>
      <c r="I27" s="61">
        <v>99.96</v>
      </c>
      <c r="J27" s="60">
        <v>82621.899999999994</v>
      </c>
      <c r="K27" s="68">
        <f t="shared" si="6"/>
        <v>-2.78</v>
      </c>
      <c r="L27" s="69">
        <f t="shared" si="0"/>
        <v>99.96</v>
      </c>
      <c r="M27" s="273">
        <f t="shared" si="1"/>
        <v>-277.88879999999995</v>
      </c>
      <c r="N27" s="71">
        <f t="shared" si="2"/>
        <v>823.77</v>
      </c>
      <c r="O27" s="72">
        <f t="shared" si="3"/>
        <v>99.96</v>
      </c>
      <c r="P27" s="274">
        <f t="shared" si="4"/>
        <v>82344.049199999994</v>
      </c>
      <c r="Q27" s="237">
        <f t="shared" si="5"/>
        <v>853.36</v>
      </c>
      <c r="R27" s="194"/>
      <c r="S27" s="190"/>
    </row>
    <row r="28" spans="2:22" s="121" customFormat="1" ht="12" x14ac:dyDescent="0.2">
      <c r="B28" s="120"/>
      <c r="C28" s="56" t="s">
        <v>2</v>
      </c>
      <c r="D28" s="56" t="s">
        <v>96</v>
      </c>
      <c r="E28" s="57" t="s">
        <v>181</v>
      </c>
      <c r="F28" s="58" t="s">
        <v>182</v>
      </c>
      <c r="G28" s="59" t="s">
        <v>108</v>
      </c>
      <c r="H28" s="60">
        <v>826.55</v>
      </c>
      <c r="I28" s="61">
        <v>149.94</v>
      </c>
      <c r="J28" s="60">
        <v>123932.9</v>
      </c>
      <c r="K28" s="68">
        <f t="shared" si="6"/>
        <v>-2.78</v>
      </c>
      <c r="L28" s="69">
        <f t="shared" si="0"/>
        <v>149.94</v>
      </c>
      <c r="M28" s="273">
        <f t="shared" si="1"/>
        <v>-416.83319999999998</v>
      </c>
      <c r="N28" s="71">
        <f t="shared" si="2"/>
        <v>823.77</v>
      </c>
      <c r="O28" s="72">
        <f t="shared" si="3"/>
        <v>149.94</v>
      </c>
      <c r="P28" s="274">
        <f t="shared" si="4"/>
        <v>123516.0738</v>
      </c>
      <c r="Q28" s="237">
        <f t="shared" si="5"/>
        <v>853.36</v>
      </c>
      <c r="R28" s="194"/>
      <c r="S28" s="190"/>
    </row>
    <row r="29" spans="2:22" s="121" customFormat="1" ht="16.5" customHeight="1" x14ac:dyDescent="0.2">
      <c r="B29" s="120"/>
      <c r="C29" s="56" t="s">
        <v>141</v>
      </c>
      <c r="D29" s="56" t="s">
        <v>96</v>
      </c>
      <c r="E29" s="57" t="s">
        <v>187</v>
      </c>
      <c r="F29" s="58" t="s">
        <v>188</v>
      </c>
      <c r="G29" s="59" t="s">
        <v>150</v>
      </c>
      <c r="H29" s="60">
        <v>694.49</v>
      </c>
      <c r="I29" s="61">
        <v>98.38</v>
      </c>
      <c r="J29" s="60">
        <v>68323.899999999994</v>
      </c>
      <c r="K29" s="68">
        <f t="shared" si="6"/>
        <v>-2.34</v>
      </c>
      <c r="L29" s="69">
        <f t="shared" si="0"/>
        <v>98.38</v>
      </c>
      <c r="M29" s="273">
        <f t="shared" si="1"/>
        <v>-230.20919999999998</v>
      </c>
      <c r="N29" s="71">
        <f t="shared" si="2"/>
        <v>692.15</v>
      </c>
      <c r="O29" s="72">
        <f t="shared" si="3"/>
        <v>98.38</v>
      </c>
      <c r="P29" s="274">
        <f t="shared" si="4"/>
        <v>68093.71699999999</v>
      </c>
      <c r="Q29" s="237">
        <f t="shared" si="5"/>
        <v>717.02</v>
      </c>
      <c r="R29" s="194"/>
    </row>
    <row r="30" spans="2:22" s="121" customFormat="1" ht="27" customHeight="1" x14ac:dyDescent="0.2">
      <c r="B30" s="120"/>
      <c r="C30" s="56" t="s">
        <v>144</v>
      </c>
      <c r="D30" s="56" t="s">
        <v>96</v>
      </c>
      <c r="E30" s="57" t="s">
        <v>190</v>
      </c>
      <c r="F30" s="58" t="s">
        <v>191</v>
      </c>
      <c r="G30" s="59" t="s">
        <v>150</v>
      </c>
      <c r="H30" s="60">
        <v>130.41</v>
      </c>
      <c r="I30" s="61">
        <v>247.39</v>
      </c>
      <c r="J30" s="60">
        <v>32262.1</v>
      </c>
      <c r="K30" s="68">
        <f t="shared" si="6"/>
        <v>-0.44</v>
      </c>
      <c r="L30" s="69">
        <f t="shared" si="0"/>
        <v>247.39</v>
      </c>
      <c r="M30" s="273">
        <f t="shared" si="1"/>
        <v>-108.85159999999999</v>
      </c>
      <c r="N30" s="71">
        <f t="shared" si="2"/>
        <v>129.97</v>
      </c>
      <c r="O30" s="72">
        <f t="shared" si="3"/>
        <v>247.39</v>
      </c>
      <c r="P30" s="274">
        <f t="shared" si="4"/>
        <v>32153.278299999998</v>
      </c>
      <c r="Q30" s="237">
        <f t="shared" si="5"/>
        <v>134.63999999999999</v>
      </c>
      <c r="R30" s="194"/>
      <c r="T30" s="186" t="s">
        <v>937</v>
      </c>
      <c r="U30" s="188" t="s">
        <v>950</v>
      </c>
      <c r="V30" s="190" t="s">
        <v>960</v>
      </c>
    </row>
    <row r="31" spans="2:22" s="121" customFormat="1" ht="27" customHeight="1" x14ac:dyDescent="0.2">
      <c r="B31" s="120"/>
      <c r="C31" s="56" t="s">
        <v>147</v>
      </c>
      <c r="D31" s="56" t="s">
        <v>96</v>
      </c>
      <c r="E31" s="57" t="s">
        <v>193</v>
      </c>
      <c r="F31" s="58" t="s">
        <v>194</v>
      </c>
      <c r="G31" s="59" t="s">
        <v>150</v>
      </c>
      <c r="H31" s="60">
        <v>130.41</v>
      </c>
      <c r="I31" s="61">
        <v>44.72</v>
      </c>
      <c r="J31" s="60">
        <v>5831.9</v>
      </c>
      <c r="K31" s="68">
        <f t="shared" si="6"/>
        <v>-0.44</v>
      </c>
      <c r="L31" s="69">
        <f t="shared" si="0"/>
        <v>44.72</v>
      </c>
      <c r="M31" s="273">
        <f t="shared" si="1"/>
        <v>-19.6768</v>
      </c>
      <c r="N31" s="71">
        <f t="shared" si="2"/>
        <v>129.97</v>
      </c>
      <c r="O31" s="72">
        <f t="shared" si="3"/>
        <v>44.72</v>
      </c>
      <c r="P31" s="274">
        <f t="shared" si="4"/>
        <v>5812.2583999999997</v>
      </c>
      <c r="Q31" s="237">
        <f t="shared" si="5"/>
        <v>134.63999999999999</v>
      </c>
      <c r="R31" s="194"/>
      <c r="T31" s="186" t="s">
        <v>937</v>
      </c>
      <c r="U31" s="188" t="s">
        <v>950</v>
      </c>
      <c r="V31" s="190" t="s">
        <v>960</v>
      </c>
    </row>
    <row r="32" spans="2:22" s="121" customFormat="1" ht="24" customHeight="1" x14ac:dyDescent="0.2">
      <c r="B32" s="120"/>
      <c r="C32" s="56" t="s">
        <v>151</v>
      </c>
      <c r="D32" s="56" t="s">
        <v>96</v>
      </c>
      <c r="E32" s="57" t="s">
        <v>196</v>
      </c>
      <c r="F32" s="58" t="s">
        <v>197</v>
      </c>
      <c r="G32" s="59" t="s">
        <v>150</v>
      </c>
      <c r="H32" s="60">
        <v>130.41</v>
      </c>
      <c r="I32" s="61">
        <v>11.84</v>
      </c>
      <c r="J32" s="60">
        <v>1544.1</v>
      </c>
      <c r="K32" s="68">
        <f t="shared" si="6"/>
        <v>-0.44</v>
      </c>
      <c r="L32" s="69">
        <f t="shared" si="0"/>
        <v>11.84</v>
      </c>
      <c r="M32" s="273">
        <f t="shared" si="1"/>
        <v>-5.2096</v>
      </c>
      <c r="N32" s="71">
        <f t="shared" si="2"/>
        <v>129.97</v>
      </c>
      <c r="O32" s="72">
        <f t="shared" si="3"/>
        <v>11.84</v>
      </c>
      <c r="P32" s="274">
        <f t="shared" si="4"/>
        <v>1538.8448000000001</v>
      </c>
      <c r="Q32" s="237">
        <f t="shared" si="5"/>
        <v>134.63999999999999</v>
      </c>
      <c r="R32" s="194"/>
      <c r="T32" s="186" t="s">
        <v>937</v>
      </c>
      <c r="U32" s="188" t="s">
        <v>950</v>
      </c>
      <c r="V32" s="190" t="s">
        <v>960</v>
      </c>
    </row>
    <row r="33" spans="2:19" s="121" customFormat="1" ht="16.5" customHeight="1" x14ac:dyDescent="0.2">
      <c r="B33" s="120"/>
      <c r="C33" s="56" t="s">
        <v>154</v>
      </c>
      <c r="D33" s="56" t="s">
        <v>96</v>
      </c>
      <c r="E33" s="57" t="s">
        <v>199</v>
      </c>
      <c r="F33" s="58" t="s">
        <v>200</v>
      </c>
      <c r="G33" s="59" t="s">
        <v>201</v>
      </c>
      <c r="H33" s="60">
        <v>260.82</v>
      </c>
      <c r="I33" s="61">
        <v>116</v>
      </c>
      <c r="J33" s="60">
        <v>30255.1</v>
      </c>
      <c r="K33" s="68">
        <f t="shared" si="6"/>
        <v>-0.88</v>
      </c>
      <c r="L33" s="69">
        <f t="shared" si="0"/>
        <v>116</v>
      </c>
      <c r="M33" s="273">
        <f t="shared" si="1"/>
        <v>-102.08</v>
      </c>
      <c r="N33" s="71">
        <f t="shared" si="2"/>
        <v>259.94</v>
      </c>
      <c r="O33" s="72">
        <f t="shared" si="3"/>
        <v>116</v>
      </c>
      <c r="P33" s="274">
        <f t="shared" si="4"/>
        <v>30153.040000000001</v>
      </c>
      <c r="Q33" s="237">
        <f t="shared" si="5"/>
        <v>269.27999999999997</v>
      </c>
      <c r="R33" s="194"/>
    </row>
    <row r="34" spans="2:19" s="121" customFormat="1" ht="16.5" customHeight="1" x14ac:dyDescent="0.2">
      <c r="B34" s="120"/>
      <c r="C34" s="56" t="s">
        <v>1</v>
      </c>
      <c r="D34" s="56" t="s">
        <v>96</v>
      </c>
      <c r="E34" s="57" t="s">
        <v>203</v>
      </c>
      <c r="F34" s="58" t="s">
        <v>204</v>
      </c>
      <c r="G34" s="59" t="s">
        <v>150</v>
      </c>
      <c r="H34" s="60">
        <v>281.82</v>
      </c>
      <c r="I34" s="61">
        <v>143.36000000000001</v>
      </c>
      <c r="J34" s="60">
        <v>40401.699999999997</v>
      </c>
      <c r="K34" s="68">
        <f t="shared" si="6"/>
        <v>-0.95</v>
      </c>
      <c r="L34" s="69">
        <f t="shared" si="0"/>
        <v>143.36000000000001</v>
      </c>
      <c r="M34" s="273">
        <f t="shared" si="1"/>
        <v>-136.19200000000001</v>
      </c>
      <c r="N34" s="71">
        <f t="shared" si="2"/>
        <v>280.87</v>
      </c>
      <c r="O34" s="72">
        <f t="shared" si="3"/>
        <v>143.36000000000001</v>
      </c>
      <c r="P34" s="274">
        <f t="shared" si="4"/>
        <v>40265.523200000003</v>
      </c>
      <c r="Q34" s="237">
        <f t="shared" si="5"/>
        <v>290.95999999999998</v>
      </c>
      <c r="R34" s="194"/>
    </row>
    <row r="35" spans="2:19" s="121" customFormat="1" ht="16.5" customHeight="1" x14ac:dyDescent="0.2">
      <c r="B35" s="120"/>
      <c r="C35" s="56" t="s">
        <v>159</v>
      </c>
      <c r="D35" s="56" t="s">
        <v>96</v>
      </c>
      <c r="E35" s="57" t="s">
        <v>206</v>
      </c>
      <c r="F35" s="58" t="s">
        <v>207</v>
      </c>
      <c r="G35" s="59" t="s">
        <v>150</v>
      </c>
      <c r="H35" s="60">
        <v>88.23</v>
      </c>
      <c r="I35" s="61">
        <v>318.27999999999997</v>
      </c>
      <c r="J35" s="60">
        <v>28081.8</v>
      </c>
      <c r="K35" s="68">
        <f t="shared" si="6"/>
        <v>-0.3</v>
      </c>
      <c r="L35" s="69">
        <f t="shared" si="0"/>
        <v>318.27999999999997</v>
      </c>
      <c r="M35" s="273">
        <f t="shared" si="1"/>
        <v>-95.483999999999995</v>
      </c>
      <c r="N35" s="71">
        <f t="shared" si="2"/>
        <v>87.93</v>
      </c>
      <c r="O35" s="72">
        <f t="shared" si="3"/>
        <v>318.27999999999997</v>
      </c>
      <c r="P35" s="274">
        <f t="shared" si="4"/>
        <v>27986.360400000001</v>
      </c>
      <c r="Q35" s="237">
        <f t="shared" si="5"/>
        <v>91.09</v>
      </c>
      <c r="R35" s="194"/>
    </row>
    <row r="36" spans="2:19" s="121" customFormat="1" ht="16.5" customHeight="1" x14ac:dyDescent="0.2">
      <c r="B36" s="120"/>
      <c r="C36" s="73" t="s">
        <v>162</v>
      </c>
      <c r="D36" s="73" t="s">
        <v>209</v>
      </c>
      <c r="E36" s="74" t="s">
        <v>210</v>
      </c>
      <c r="F36" s="75" t="s">
        <v>211</v>
      </c>
      <c r="G36" s="76" t="s">
        <v>201</v>
      </c>
      <c r="H36" s="77">
        <v>176.46</v>
      </c>
      <c r="I36" s="78">
        <v>172.71</v>
      </c>
      <c r="J36" s="77">
        <v>30476.400000000001</v>
      </c>
      <c r="K36" s="68">
        <f t="shared" si="6"/>
        <v>-0.59</v>
      </c>
      <c r="L36" s="69">
        <f t="shared" si="0"/>
        <v>172.71</v>
      </c>
      <c r="M36" s="273">
        <f t="shared" si="1"/>
        <v>-101.8989</v>
      </c>
      <c r="N36" s="71">
        <f t="shared" si="2"/>
        <v>175.87</v>
      </c>
      <c r="O36" s="72">
        <f t="shared" si="3"/>
        <v>172.71</v>
      </c>
      <c r="P36" s="274">
        <f t="shared" si="4"/>
        <v>30374.507700000002</v>
      </c>
      <c r="Q36" s="237">
        <f t="shared" si="5"/>
        <v>182.18</v>
      </c>
      <c r="R36" s="194"/>
    </row>
    <row r="37" spans="2:19" s="170" customFormat="1" ht="22.9" customHeight="1" x14ac:dyDescent="0.2">
      <c r="B37" s="165"/>
      <c r="C37" s="252"/>
      <c r="D37" s="253" t="s">
        <v>4</v>
      </c>
      <c r="E37" s="254" t="s">
        <v>13</v>
      </c>
      <c r="F37" s="254" t="s">
        <v>222</v>
      </c>
      <c r="G37" s="252"/>
      <c r="H37" s="252"/>
      <c r="I37" s="255"/>
      <c r="J37" s="256">
        <f>+SUBTOTAL(9,J38:J39)</f>
        <v>5863</v>
      </c>
      <c r="K37" s="261">
        <v>0</v>
      </c>
      <c r="L37" s="262">
        <f t="shared" si="0"/>
        <v>0</v>
      </c>
      <c r="M37" s="279">
        <f>M38+M39</f>
        <v>-19.73</v>
      </c>
      <c r="N37" s="280">
        <f t="shared" si="2"/>
        <v>0</v>
      </c>
      <c r="O37" s="262">
        <f t="shared" si="3"/>
        <v>0</v>
      </c>
      <c r="P37" s="279">
        <f>P38+P39</f>
        <v>5843.2368000000006</v>
      </c>
      <c r="Q37" s="237"/>
      <c r="R37" s="194"/>
    </row>
    <row r="38" spans="2:19" s="121" customFormat="1" ht="16.5" customHeight="1" x14ac:dyDescent="0.2">
      <c r="B38" s="120"/>
      <c r="C38" s="56" t="s">
        <v>165</v>
      </c>
      <c r="D38" s="56" t="s">
        <v>96</v>
      </c>
      <c r="E38" s="57" t="s">
        <v>224</v>
      </c>
      <c r="F38" s="58" t="s">
        <v>225</v>
      </c>
      <c r="G38" s="59" t="s">
        <v>133</v>
      </c>
      <c r="H38" s="60">
        <v>148.58000000000001</v>
      </c>
      <c r="I38" s="61">
        <v>32.880000000000003</v>
      </c>
      <c r="J38" s="60">
        <v>4885.3</v>
      </c>
      <c r="K38" s="68">
        <f t="shared" si="6"/>
        <v>-0.5</v>
      </c>
      <c r="L38" s="69">
        <f t="shared" si="0"/>
        <v>32.880000000000003</v>
      </c>
      <c r="M38" s="273">
        <f t="shared" si="1"/>
        <v>-16.440000000000001</v>
      </c>
      <c r="N38" s="71">
        <f t="shared" si="2"/>
        <v>148.08000000000001</v>
      </c>
      <c r="O38" s="72">
        <f t="shared" si="3"/>
        <v>32.880000000000003</v>
      </c>
      <c r="P38" s="274">
        <f t="shared" si="4"/>
        <v>4868.8704000000007</v>
      </c>
      <c r="Q38" s="237">
        <f t="shared" si="5"/>
        <v>153.4</v>
      </c>
      <c r="R38" s="194"/>
    </row>
    <row r="39" spans="2:19" s="121" customFormat="1" ht="16.5" customHeight="1" x14ac:dyDescent="0.2">
      <c r="B39" s="120"/>
      <c r="C39" s="56" t="s">
        <v>168</v>
      </c>
      <c r="D39" s="56" t="s">
        <v>96</v>
      </c>
      <c r="E39" s="57" t="s">
        <v>227</v>
      </c>
      <c r="F39" s="58" t="s">
        <v>228</v>
      </c>
      <c r="G39" s="59" t="s">
        <v>133</v>
      </c>
      <c r="H39" s="60">
        <v>148.58000000000001</v>
      </c>
      <c r="I39" s="61">
        <v>6.58</v>
      </c>
      <c r="J39" s="60">
        <v>977.7</v>
      </c>
      <c r="K39" s="68">
        <f t="shared" si="6"/>
        <v>-0.5</v>
      </c>
      <c r="L39" s="69">
        <f t="shared" si="0"/>
        <v>6.58</v>
      </c>
      <c r="M39" s="273">
        <f t="shared" si="1"/>
        <v>-3.29</v>
      </c>
      <c r="N39" s="71">
        <f t="shared" si="2"/>
        <v>148.08000000000001</v>
      </c>
      <c r="O39" s="72">
        <f t="shared" si="3"/>
        <v>6.58</v>
      </c>
      <c r="P39" s="274">
        <f t="shared" si="4"/>
        <v>974.36640000000011</v>
      </c>
      <c r="Q39" s="237">
        <f t="shared" si="5"/>
        <v>153.4</v>
      </c>
      <c r="R39" s="194"/>
    </row>
    <row r="40" spans="2:19" s="170" customFormat="1" ht="22.9" customHeight="1" x14ac:dyDescent="0.2">
      <c r="B40" s="165"/>
      <c r="C40" s="252"/>
      <c r="D40" s="253" t="s">
        <v>4</v>
      </c>
      <c r="E40" s="254" t="s">
        <v>100</v>
      </c>
      <c r="F40" s="254" t="s">
        <v>229</v>
      </c>
      <c r="G40" s="252"/>
      <c r="H40" s="252"/>
      <c r="I40" s="255"/>
      <c r="J40" s="256">
        <f>+SUBTOTAL(9,J41:J44)</f>
        <v>68777</v>
      </c>
      <c r="K40" s="261">
        <v>0</v>
      </c>
      <c r="L40" s="262">
        <f t="shared" si="0"/>
        <v>0</v>
      </c>
      <c r="M40" s="279">
        <f>SUM(M41:M44)</f>
        <v>-226.23089999999999</v>
      </c>
      <c r="N40" s="280">
        <f t="shared" si="2"/>
        <v>0</v>
      </c>
      <c r="O40" s="262">
        <f t="shared" si="3"/>
        <v>0</v>
      </c>
      <c r="P40" s="279">
        <f>SUM(P41:P44)</f>
        <v>68550.717399999994</v>
      </c>
      <c r="Q40" s="237"/>
      <c r="R40" s="194"/>
    </row>
    <row r="41" spans="2:19" s="121" customFormat="1" ht="16.5" customHeight="1" x14ac:dyDescent="0.2">
      <c r="B41" s="120"/>
      <c r="C41" s="56" t="s">
        <v>171</v>
      </c>
      <c r="D41" s="56" t="s">
        <v>96</v>
      </c>
      <c r="E41" s="57" t="s">
        <v>246</v>
      </c>
      <c r="F41" s="58" t="s">
        <v>247</v>
      </c>
      <c r="G41" s="59" t="s">
        <v>99</v>
      </c>
      <c r="H41" s="60">
        <v>2</v>
      </c>
      <c r="I41" s="61">
        <v>152.57</v>
      </c>
      <c r="J41" s="60">
        <v>305.10000000000002</v>
      </c>
      <c r="K41" s="68">
        <v>0</v>
      </c>
      <c r="L41" s="69">
        <f t="shared" si="0"/>
        <v>152.57</v>
      </c>
      <c r="M41" s="273">
        <f t="shared" si="1"/>
        <v>0</v>
      </c>
      <c r="N41" s="71">
        <f t="shared" si="2"/>
        <v>2</v>
      </c>
      <c r="O41" s="72">
        <f t="shared" si="3"/>
        <v>152.57</v>
      </c>
      <c r="P41" s="274">
        <f t="shared" si="4"/>
        <v>305.14</v>
      </c>
      <c r="Q41" s="237">
        <f t="shared" si="5"/>
        <v>2.06</v>
      </c>
      <c r="R41" s="194"/>
    </row>
    <row r="42" spans="2:19" s="121" customFormat="1" ht="16.5" customHeight="1" x14ac:dyDescent="0.2">
      <c r="B42" s="120"/>
      <c r="C42" s="73" t="s">
        <v>174</v>
      </c>
      <c r="D42" s="73" t="s">
        <v>209</v>
      </c>
      <c r="E42" s="74" t="s">
        <v>249</v>
      </c>
      <c r="F42" s="75" t="s">
        <v>250</v>
      </c>
      <c r="G42" s="76" t="s">
        <v>99</v>
      </c>
      <c r="H42" s="77">
        <v>2</v>
      </c>
      <c r="I42" s="78">
        <v>395.88</v>
      </c>
      <c r="J42" s="77">
        <v>791.8</v>
      </c>
      <c r="K42" s="68">
        <v>0</v>
      </c>
      <c r="L42" s="69">
        <f t="shared" si="0"/>
        <v>395.88</v>
      </c>
      <c r="M42" s="273">
        <f t="shared" si="1"/>
        <v>0</v>
      </c>
      <c r="N42" s="71">
        <f t="shared" si="2"/>
        <v>2</v>
      </c>
      <c r="O42" s="72">
        <f t="shared" si="3"/>
        <v>395.88</v>
      </c>
      <c r="P42" s="274">
        <f t="shared" si="4"/>
        <v>791.76</v>
      </c>
      <c r="Q42" s="237">
        <f t="shared" si="5"/>
        <v>2.06</v>
      </c>
      <c r="R42" s="194"/>
    </row>
    <row r="43" spans="2:19" s="121" customFormat="1" ht="22.5" customHeight="1" x14ac:dyDescent="0.2">
      <c r="B43" s="120"/>
      <c r="C43" s="56" t="s">
        <v>177</v>
      </c>
      <c r="D43" s="56" t="s">
        <v>96</v>
      </c>
      <c r="E43" s="57" t="s">
        <v>252</v>
      </c>
      <c r="F43" s="58" t="s">
        <v>253</v>
      </c>
      <c r="G43" s="59" t="s">
        <v>150</v>
      </c>
      <c r="H43" s="60">
        <v>19.29</v>
      </c>
      <c r="I43" s="61">
        <v>3239.16</v>
      </c>
      <c r="J43" s="60">
        <v>62483.4</v>
      </c>
      <c r="K43" s="68">
        <f t="shared" ref="K43:K44" si="7">ROUND(152.9/153.4*Q43-Q43,2)</f>
        <v>-0.06</v>
      </c>
      <c r="L43" s="69">
        <f t="shared" si="0"/>
        <v>3239.16</v>
      </c>
      <c r="M43" s="273">
        <f t="shared" si="1"/>
        <v>-194.34959999999998</v>
      </c>
      <c r="N43" s="71">
        <f t="shared" si="2"/>
        <v>19.23</v>
      </c>
      <c r="O43" s="72">
        <f t="shared" si="3"/>
        <v>3239.16</v>
      </c>
      <c r="P43" s="274">
        <f t="shared" si="4"/>
        <v>62289.046799999996</v>
      </c>
      <c r="Q43" s="237">
        <f t="shared" si="5"/>
        <v>19.920000000000002</v>
      </c>
      <c r="R43" s="194"/>
      <c r="S43" s="190" t="s">
        <v>930</v>
      </c>
    </row>
    <row r="44" spans="2:19" s="121" customFormat="1" ht="16.5" customHeight="1" x14ac:dyDescent="0.2">
      <c r="B44" s="120"/>
      <c r="C44" s="56" t="s">
        <v>180</v>
      </c>
      <c r="D44" s="56" t="s">
        <v>96</v>
      </c>
      <c r="E44" s="57" t="s">
        <v>255</v>
      </c>
      <c r="F44" s="58" t="s">
        <v>256</v>
      </c>
      <c r="G44" s="59" t="s">
        <v>150</v>
      </c>
      <c r="H44" s="60">
        <v>1.63</v>
      </c>
      <c r="I44" s="61">
        <v>3188.13</v>
      </c>
      <c r="J44" s="60">
        <v>5196.7</v>
      </c>
      <c r="K44" s="68">
        <f t="shared" si="7"/>
        <v>-0.01</v>
      </c>
      <c r="L44" s="69">
        <f t="shared" si="0"/>
        <v>3188.13</v>
      </c>
      <c r="M44" s="273">
        <f t="shared" si="1"/>
        <v>-31.881300000000003</v>
      </c>
      <c r="N44" s="71">
        <f t="shared" si="2"/>
        <v>1.6199999999999999</v>
      </c>
      <c r="O44" s="72">
        <f t="shared" si="3"/>
        <v>3188.13</v>
      </c>
      <c r="P44" s="274">
        <f t="shared" si="4"/>
        <v>5164.7705999999998</v>
      </c>
      <c r="Q44" s="237">
        <f t="shared" si="5"/>
        <v>1.68</v>
      </c>
      <c r="R44" s="194"/>
      <c r="S44" s="186" t="s">
        <v>929</v>
      </c>
    </row>
    <row r="45" spans="2:19" s="170" customFormat="1" ht="22.9" customHeight="1" x14ac:dyDescent="0.2">
      <c r="B45" s="165"/>
      <c r="C45" s="252"/>
      <c r="D45" s="253" t="s">
        <v>4</v>
      </c>
      <c r="E45" s="254" t="s">
        <v>105</v>
      </c>
      <c r="F45" s="254" t="s">
        <v>257</v>
      </c>
      <c r="G45" s="252"/>
      <c r="H45" s="252"/>
      <c r="I45" s="255"/>
      <c r="J45" s="256">
        <f>+SUBTOTAL(9,J46:J50)</f>
        <v>282293.7</v>
      </c>
      <c r="K45" s="261">
        <v>0</v>
      </c>
      <c r="L45" s="262">
        <f t="shared" si="0"/>
        <v>0</v>
      </c>
      <c r="M45" s="279">
        <f>SUM(M46:M50)</f>
        <v>0</v>
      </c>
      <c r="N45" s="280">
        <f t="shared" si="2"/>
        <v>0</v>
      </c>
      <c r="O45" s="262">
        <f t="shared" si="3"/>
        <v>0</v>
      </c>
      <c r="P45" s="279">
        <f>SUM(P46:P50)</f>
        <v>282293.73639999999</v>
      </c>
      <c r="Q45" s="237"/>
      <c r="R45" s="194"/>
    </row>
    <row r="46" spans="2:19" s="121" customFormat="1" ht="16.5" customHeight="1" x14ac:dyDescent="0.2">
      <c r="B46" s="120"/>
      <c r="C46" s="56" t="s">
        <v>183</v>
      </c>
      <c r="D46" s="56" t="s">
        <v>96</v>
      </c>
      <c r="E46" s="57" t="s">
        <v>262</v>
      </c>
      <c r="F46" s="58" t="s">
        <v>263</v>
      </c>
      <c r="G46" s="59" t="s">
        <v>108</v>
      </c>
      <c r="H46" s="60">
        <v>168.74</v>
      </c>
      <c r="I46" s="61">
        <v>302.54000000000002</v>
      </c>
      <c r="J46" s="60">
        <v>51050.6</v>
      </c>
      <c r="K46" s="68">
        <v>0</v>
      </c>
      <c r="L46" s="69">
        <f t="shared" si="0"/>
        <v>302.54000000000002</v>
      </c>
      <c r="M46" s="273">
        <f t="shared" si="1"/>
        <v>0</v>
      </c>
      <c r="N46" s="71">
        <f t="shared" si="2"/>
        <v>168.74</v>
      </c>
      <c r="O46" s="72">
        <f t="shared" si="3"/>
        <v>302.54000000000002</v>
      </c>
      <c r="P46" s="274">
        <f t="shared" si="4"/>
        <v>51050.599600000009</v>
      </c>
      <c r="Q46" s="237">
        <f t="shared" si="5"/>
        <v>174.21</v>
      </c>
      <c r="R46" s="194"/>
    </row>
    <row r="47" spans="2:19" s="121" customFormat="1" ht="16.5" customHeight="1" x14ac:dyDescent="0.2">
      <c r="B47" s="120"/>
      <c r="C47" s="56" t="s">
        <v>186</v>
      </c>
      <c r="D47" s="56" t="s">
        <v>96</v>
      </c>
      <c r="E47" s="57" t="s">
        <v>268</v>
      </c>
      <c r="F47" s="58" t="s">
        <v>269</v>
      </c>
      <c r="G47" s="59" t="s">
        <v>108</v>
      </c>
      <c r="H47" s="60">
        <v>168.74</v>
      </c>
      <c r="I47" s="61">
        <v>14.18</v>
      </c>
      <c r="J47" s="60">
        <v>2392.6999999999998</v>
      </c>
      <c r="K47" s="68">
        <v>0</v>
      </c>
      <c r="L47" s="69">
        <f t="shared" si="0"/>
        <v>14.18</v>
      </c>
      <c r="M47" s="273">
        <f t="shared" si="1"/>
        <v>0</v>
      </c>
      <c r="N47" s="71">
        <f t="shared" si="2"/>
        <v>168.74</v>
      </c>
      <c r="O47" s="72">
        <f t="shared" si="3"/>
        <v>14.18</v>
      </c>
      <c r="P47" s="274">
        <f t="shared" si="4"/>
        <v>2392.7332000000001</v>
      </c>
      <c r="Q47" s="237">
        <f t="shared" si="5"/>
        <v>174.21</v>
      </c>
      <c r="R47" s="194"/>
    </row>
    <row r="48" spans="2:19" s="121" customFormat="1" ht="16.5" customHeight="1" x14ac:dyDescent="0.2">
      <c r="B48" s="120"/>
      <c r="C48" s="56" t="s">
        <v>189</v>
      </c>
      <c r="D48" s="56" t="s">
        <v>96</v>
      </c>
      <c r="E48" s="57" t="s">
        <v>271</v>
      </c>
      <c r="F48" s="58" t="s">
        <v>272</v>
      </c>
      <c r="G48" s="59" t="s">
        <v>108</v>
      </c>
      <c r="H48" s="60">
        <v>322.14</v>
      </c>
      <c r="I48" s="61">
        <v>20.62</v>
      </c>
      <c r="J48" s="60">
        <v>6642.5</v>
      </c>
      <c r="K48" s="68">
        <v>0</v>
      </c>
      <c r="L48" s="69">
        <f t="shared" si="0"/>
        <v>20.62</v>
      </c>
      <c r="M48" s="273">
        <f t="shared" si="1"/>
        <v>0</v>
      </c>
      <c r="N48" s="71">
        <f t="shared" si="2"/>
        <v>322.14</v>
      </c>
      <c r="O48" s="72">
        <f t="shared" si="3"/>
        <v>20.62</v>
      </c>
      <c r="P48" s="274">
        <f t="shared" si="4"/>
        <v>6642.5267999999996</v>
      </c>
      <c r="Q48" s="237">
        <f t="shared" si="5"/>
        <v>332.59</v>
      </c>
      <c r="R48" s="194"/>
    </row>
    <row r="49" spans="2:18" s="121" customFormat="1" ht="16.5" customHeight="1" x14ac:dyDescent="0.2">
      <c r="B49" s="120"/>
      <c r="C49" s="56" t="s">
        <v>192</v>
      </c>
      <c r="D49" s="56" t="s">
        <v>96</v>
      </c>
      <c r="E49" s="57" t="s">
        <v>274</v>
      </c>
      <c r="F49" s="58" t="s">
        <v>275</v>
      </c>
      <c r="G49" s="59" t="s">
        <v>108</v>
      </c>
      <c r="H49" s="60">
        <v>322.14</v>
      </c>
      <c r="I49" s="61">
        <v>396.71</v>
      </c>
      <c r="J49" s="60">
        <v>127796.2</v>
      </c>
      <c r="K49" s="68">
        <v>0</v>
      </c>
      <c r="L49" s="69">
        <f t="shared" si="0"/>
        <v>396.71</v>
      </c>
      <c r="M49" s="273">
        <f t="shared" si="1"/>
        <v>0</v>
      </c>
      <c r="N49" s="71">
        <f t="shared" si="2"/>
        <v>322.14</v>
      </c>
      <c r="O49" s="72">
        <f t="shared" si="3"/>
        <v>396.71</v>
      </c>
      <c r="P49" s="274">
        <f t="shared" si="4"/>
        <v>127796.15939999999</v>
      </c>
      <c r="Q49" s="237">
        <f t="shared" si="5"/>
        <v>332.59</v>
      </c>
      <c r="R49" s="194"/>
    </row>
    <row r="50" spans="2:18" s="121" customFormat="1" ht="16.5" customHeight="1" x14ac:dyDescent="0.2">
      <c r="B50" s="120"/>
      <c r="C50" s="56" t="s">
        <v>195</v>
      </c>
      <c r="D50" s="56" t="s">
        <v>96</v>
      </c>
      <c r="E50" s="57" t="s">
        <v>277</v>
      </c>
      <c r="F50" s="58" t="s">
        <v>278</v>
      </c>
      <c r="G50" s="59" t="s">
        <v>108</v>
      </c>
      <c r="H50" s="60">
        <v>168.74</v>
      </c>
      <c r="I50" s="61">
        <v>559.51</v>
      </c>
      <c r="J50" s="60">
        <v>94411.7</v>
      </c>
      <c r="K50" s="68">
        <v>0</v>
      </c>
      <c r="L50" s="69">
        <f t="shared" si="0"/>
        <v>559.51</v>
      </c>
      <c r="M50" s="273">
        <f t="shared" si="1"/>
        <v>0</v>
      </c>
      <c r="N50" s="71">
        <f t="shared" si="2"/>
        <v>168.74</v>
      </c>
      <c r="O50" s="72">
        <f t="shared" si="3"/>
        <v>559.51</v>
      </c>
      <c r="P50" s="274">
        <f t="shared" si="4"/>
        <v>94411.717400000009</v>
      </c>
      <c r="Q50" s="237">
        <f t="shared" si="5"/>
        <v>174.21</v>
      </c>
      <c r="R50" s="194"/>
    </row>
    <row r="51" spans="2:18" s="170" customFormat="1" ht="22.9" customHeight="1" x14ac:dyDescent="0.2">
      <c r="B51" s="165"/>
      <c r="C51" s="252"/>
      <c r="D51" s="253" t="s">
        <v>4</v>
      </c>
      <c r="E51" s="254" t="s">
        <v>115</v>
      </c>
      <c r="F51" s="254" t="s">
        <v>288</v>
      </c>
      <c r="G51" s="252"/>
      <c r="H51" s="252"/>
      <c r="I51" s="255"/>
      <c r="J51" s="256">
        <f>+SUBTOTAL(9,J52:J71)</f>
        <v>402631.10000000015</v>
      </c>
      <c r="K51" s="261">
        <v>0</v>
      </c>
      <c r="L51" s="262">
        <f t="shared" si="0"/>
        <v>0</v>
      </c>
      <c r="M51" s="279">
        <f>SUM(M52:M71)</f>
        <v>-844.83500000000004</v>
      </c>
      <c r="N51" s="280">
        <f t="shared" si="2"/>
        <v>0</v>
      </c>
      <c r="O51" s="262">
        <f t="shared" si="3"/>
        <v>0</v>
      </c>
      <c r="P51" s="279">
        <f>SUM(P52:P71)</f>
        <v>401786.22930000001</v>
      </c>
      <c r="Q51" s="237"/>
      <c r="R51" s="194"/>
    </row>
    <row r="52" spans="2:18" s="121" customFormat="1" ht="16.5" customHeight="1" x14ac:dyDescent="0.2">
      <c r="B52" s="120"/>
      <c r="C52" s="56" t="s">
        <v>198</v>
      </c>
      <c r="D52" s="56" t="s">
        <v>96</v>
      </c>
      <c r="E52" s="57" t="s">
        <v>296</v>
      </c>
      <c r="F52" s="58" t="s">
        <v>297</v>
      </c>
      <c r="G52" s="59" t="s">
        <v>133</v>
      </c>
      <c r="H52" s="60">
        <v>148.58000000000001</v>
      </c>
      <c r="I52" s="61">
        <v>552.39</v>
      </c>
      <c r="J52" s="60">
        <v>82074.100000000006</v>
      </c>
      <c r="K52" s="68">
        <f t="shared" ref="K52:K53" si="8">ROUND(152.9/153.4*Q52-Q52,2)</f>
        <v>-0.5</v>
      </c>
      <c r="L52" s="69">
        <f t="shared" si="0"/>
        <v>552.39</v>
      </c>
      <c r="M52" s="273">
        <f t="shared" si="1"/>
        <v>-276.19499999999999</v>
      </c>
      <c r="N52" s="71">
        <f t="shared" si="2"/>
        <v>148.08000000000001</v>
      </c>
      <c r="O52" s="72">
        <f t="shared" si="3"/>
        <v>552.39</v>
      </c>
      <c r="P52" s="274">
        <f t="shared" si="4"/>
        <v>81797.911200000002</v>
      </c>
      <c r="Q52" s="237">
        <f t="shared" si="5"/>
        <v>153.4</v>
      </c>
      <c r="R52" s="194"/>
    </row>
    <row r="53" spans="2:18" s="121" customFormat="1" ht="16.5" customHeight="1" x14ac:dyDescent="0.2">
      <c r="B53" s="120"/>
      <c r="C53" s="73" t="s">
        <v>202</v>
      </c>
      <c r="D53" s="73" t="s">
        <v>209</v>
      </c>
      <c r="E53" s="74" t="s">
        <v>299</v>
      </c>
      <c r="F53" s="75" t="s">
        <v>300</v>
      </c>
      <c r="G53" s="76" t="s">
        <v>133</v>
      </c>
      <c r="H53" s="77">
        <v>148.58000000000001</v>
      </c>
      <c r="I53" s="78">
        <v>1060.07</v>
      </c>
      <c r="J53" s="77">
        <v>157505.20000000001</v>
      </c>
      <c r="K53" s="68">
        <f t="shared" si="8"/>
        <v>-0.5</v>
      </c>
      <c r="L53" s="69">
        <f t="shared" si="0"/>
        <v>1060.07</v>
      </c>
      <c r="M53" s="273">
        <f t="shared" si="1"/>
        <v>-530.03499999999997</v>
      </c>
      <c r="N53" s="71">
        <f t="shared" si="2"/>
        <v>148.08000000000001</v>
      </c>
      <c r="O53" s="72">
        <f t="shared" si="3"/>
        <v>1060.07</v>
      </c>
      <c r="P53" s="274">
        <f t="shared" si="4"/>
        <v>156975.16560000001</v>
      </c>
      <c r="Q53" s="237">
        <f t="shared" si="5"/>
        <v>153.4</v>
      </c>
      <c r="R53" s="194"/>
    </row>
    <row r="54" spans="2:18" s="121" customFormat="1" ht="16.5" customHeight="1" x14ac:dyDescent="0.2">
      <c r="B54" s="120"/>
      <c r="C54" s="73" t="s">
        <v>205</v>
      </c>
      <c r="D54" s="73" t="s">
        <v>209</v>
      </c>
      <c r="E54" s="74" t="s">
        <v>302</v>
      </c>
      <c r="F54" s="75" t="s">
        <v>303</v>
      </c>
      <c r="G54" s="76" t="s">
        <v>99</v>
      </c>
      <c r="H54" s="77">
        <v>8</v>
      </c>
      <c r="I54" s="78">
        <v>739.15</v>
      </c>
      <c r="J54" s="77">
        <v>5913.2</v>
      </c>
      <c r="K54" s="68">
        <v>0</v>
      </c>
      <c r="L54" s="69">
        <f t="shared" si="0"/>
        <v>739.15</v>
      </c>
      <c r="M54" s="273">
        <f t="shared" si="1"/>
        <v>0</v>
      </c>
      <c r="N54" s="71">
        <f t="shared" si="2"/>
        <v>8</v>
      </c>
      <c r="O54" s="72">
        <f t="shared" si="3"/>
        <v>739.15</v>
      </c>
      <c r="P54" s="274">
        <f t="shared" si="4"/>
        <v>5913.2</v>
      </c>
      <c r="Q54" s="237">
        <f t="shared" si="5"/>
        <v>8.26</v>
      </c>
      <c r="R54" s="194"/>
    </row>
    <row r="55" spans="2:18" s="121" customFormat="1" ht="16.5" customHeight="1" x14ac:dyDescent="0.2">
      <c r="B55" s="120"/>
      <c r="C55" s="56" t="s">
        <v>208</v>
      </c>
      <c r="D55" s="56" t="s">
        <v>96</v>
      </c>
      <c r="E55" s="57" t="s">
        <v>320</v>
      </c>
      <c r="F55" s="58" t="s">
        <v>321</v>
      </c>
      <c r="G55" s="59" t="s">
        <v>99</v>
      </c>
      <c r="H55" s="60">
        <v>4</v>
      </c>
      <c r="I55" s="61">
        <v>260.41000000000003</v>
      </c>
      <c r="J55" s="60">
        <v>1041.5999999999999</v>
      </c>
      <c r="K55" s="68">
        <v>0</v>
      </c>
      <c r="L55" s="69">
        <f t="shared" si="0"/>
        <v>260.41000000000003</v>
      </c>
      <c r="M55" s="273">
        <f t="shared" si="1"/>
        <v>0</v>
      </c>
      <c r="N55" s="71">
        <f t="shared" si="2"/>
        <v>4</v>
      </c>
      <c r="O55" s="72">
        <f t="shared" si="3"/>
        <v>260.41000000000003</v>
      </c>
      <c r="P55" s="274">
        <f t="shared" si="4"/>
        <v>1041.6400000000001</v>
      </c>
      <c r="Q55" s="237">
        <f t="shared" si="5"/>
        <v>4.13</v>
      </c>
      <c r="R55" s="194"/>
    </row>
    <row r="56" spans="2:18" s="121" customFormat="1" ht="16.5" customHeight="1" x14ac:dyDescent="0.2">
      <c r="B56" s="120"/>
      <c r="C56" s="73" t="s">
        <v>212</v>
      </c>
      <c r="D56" s="73" t="s">
        <v>209</v>
      </c>
      <c r="E56" s="74" t="s">
        <v>326</v>
      </c>
      <c r="F56" s="75" t="s">
        <v>327</v>
      </c>
      <c r="G56" s="76" t="s">
        <v>99</v>
      </c>
      <c r="H56" s="77">
        <v>4.0599999999999996</v>
      </c>
      <c r="I56" s="78">
        <v>1801.85</v>
      </c>
      <c r="J56" s="77">
        <v>7315.5</v>
      </c>
      <c r="K56" s="68">
        <v>0</v>
      </c>
      <c r="L56" s="69">
        <f t="shared" si="0"/>
        <v>1801.85</v>
      </c>
      <c r="M56" s="273">
        <f t="shared" si="1"/>
        <v>0</v>
      </c>
      <c r="N56" s="71">
        <f t="shared" si="2"/>
        <v>4.0599999999999996</v>
      </c>
      <c r="O56" s="72">
        <f t="shared" si="3"/>
        <v>1801.85</v>
      </c>
      <c r="P56" s="274">
        <f t="shared" si="4"/>
        <v>7315.5109999999986</v>
      </c>
      <c r="Q56" s="237">
        <f t="shared" si="5"/>
        <v>4.1900000000000004</v>
      </c>
      <c r="R56" s="194"/>
    </row>
    <row r="57" spans="2:18" s="121" customFormat="1" ht="16.5" customHeight="1" x14ac:dyDescent="0.2">
      <c r="B57" s="120"/>
      <c r="C57" s="56" t="s">
        <v>215</v>
      </c>
      <c r="D57" s="56" t="s">
        <v>96</v>
      </c>
      <c r="E57" s="57" t="s">
        <v>329</v>
      </c>
      <c r="F57" s="58" t="s">
        <v>330</v>
      </c>
      <c r="G57" s="59" t="s">
        <v>99</v>
      </c>
      <c r="H57" s="60">
        <v>7</v>
      </c>
      <c r="I57" s="61">
        <v>219.64</v>
      </c>
      <c r="J57" s="60">
        <v>1537.5</v>
      </c>
      <c r="K57" s="68">
        <v>0</v>
      </c>
      <c r="L57" s="69">
        <f t="shared" si="0"/>
        <v>219.64</v>
      </c>
      <c r="M57" s="273">
        <f t="shared" si="1"/>
        <v>0</v>
      </c>
      <c r="N57" s="71">
        <f t="shared" si="2"/>
        <v>7</v>
      </c>
      <c r="O57" s="72">
        <f t="shared" si="3"/>
        <v>219.64</v>
      </c>
      <c r="P57" s="274">
        <f t="shared" si="4"/>
        <v>1537.48</v>
      </c>
      <c r="Q57" s="237">
        <f t="shared" si="5"/>
        <v>7.23</v>
      </c>
      <c r="R57" s="194"/>
    </row>
    <row r="58" spans="2:18" s="121" customFormat="1" ht="16.5" customHeight="1" x14ac:dyDescent="0.2">
      <c r="B58" s="120"/>
      <c r="C58" s="73" t="s">
        <v>219</v>
      </c>
      <c r="D58" s="73" t="s">
        <v>209</v>
      </c>
      <c r="E58" s="74" t="s">
        <v>332</v>
      </c>
      <c r="F58" s="75" t="s">
        <v>333</v>
      </c>
      <c r="G58" s="76" t="s">
        <v>99</v>
      </c>
      <c r="H58" s="77">
        <v>3.05</v>
      </c>
      <c r="I58" s="78">
        <v>1129.77</v>
      </c>
      <c r="J58" s="77">
        <v>3445.8</v>
      </c>
      <c r="K58" s="68">
        <v>0</v>
      </c>
      <c r="L58" s="69">
        <f t="shared" si="0"/>
        <v>1129.77</v>
      </c>
      <c r="M58" s="273">
        <f t="shared" si="1"/>
        <v>0</v>
      </c>
      <c r="N58" s="71">
        <f t="shared" si="2"/>
        <v>3.05</v>
      </c>
      <c r="O58" s="72">
        <f t="shared" si="3"/>
        <v>1129.77</v>
      </c>
      <c r="P58" s="274">
        <f t="shared" si="4"/>
        <v>3445.7984999999999</v>
      </c>
      <c r="Q58" s="237">
        <f t="shared" si="5"/>
        <v>3.15</v>
      </c>
      <c r="R58" s="194"/>
    </row>
    <row r="59" spans="2:18" s="121" customFormat="1" ht="16.5" customHeight="1" x14ac:dyDescent="0.2">
      <c r="B59" s="120"/>
      <c r="C59" s="73" t="s">
        <v>223</v>
      </c>
      <c r="D59" s="73" t="s">
        <v>209</v>
      </c>
      <c r="E59" s="74" t="s">
        <v>335</v>
      </c>
      <c r="F59" s="75" t="s">
        <v>336</v>
      </c>
      <c r="G59" s="76" t="s">
        <v>99</v>
      </c>
      <c r="H59" s="77">
        <v>4.0599999999999996</v>
      </c>
      <c r="I59" s="78">
        <v>1129.77</v>
      </c>
      <c r="J59" s="77">
        <v>4586.8999999999996</v>
      </c>
      <c r="K59" s="68">
        <v>0</v>
      </c>
      <c r="L59" s="69">
        <f t="shared" si="0"/>
        <v>1129.77</v>
      </c>
      <c r="M59" s="273">
        <f t="shared" si="1"/>
        <v>0</v>
      </c>
      <c r="N59" s="71">
        <f t="shared" si="2"/>
        <v>4.0599999999999996</v>
      </c>
      <c r="O59" s="72">
        <f t="shared" si="3"/>
        <v>1129.77</v>
      </c>
      <c r="P59" s="274">
        <f t="shared" si="4"/>
        <v>4586.8661999999995</v>
      </c>
      <c r="Q59" s="237">
        <f t="shared" si="5"/>
        <v>4.1900000000000004</v>
      </c>
      <c r="R59" s="194"/>
    </row>
    <row r="60" spans="2:18" s="121" customFormat="1" ht="33.75" customHeight="1" x14ac:dyDescent="0.2">
      <c r="B60" s="120"/>
      <c r="C60" s="56" t="s">
        <v>226</v>
      </c>
      <c r="D60" s="56" t="s">
        <v>96</v>
      </c>
      <c r="E60" s="57" t="s">
        <v>347</v>
      </c>
      <c r="F60" s="58" t="s">
        <v>348</v>
      </c>
      <c r="G60" s="59" t="s">
        <v>133</v>
      </c>
      <c r="H60" s="60">
        <v>148.58000000000001</v>
      </c>
      <c r="I60" s="61">
        <v>68</v>
      </c>
      <c r="J60" s="60">
        <v>10103.4</v>
      </c>
      <c r="K60" s="68">
        <f t="shared" ref="K60" si="9">ROUND(152.9/153.4*Q60-Q60,2)</f>
        <v>-0.5</v>
      </c>
      <c r="L60" s="69">
        <f t="shared" si="0"/>
        <v>68</v>
      </c>
      <c r="M60" s="273">
        <f t="shared" si="1"/>
        <v>-34</v>
      </c>
      <c r="N60" s="71">
        <f t="shared" si="2"/>
        <v>148.08000000000001</v>
      </c>
      <c r="O60" s="72">
        <f t="shared" si="3"/>
        <v>68</v>
      </c>
      <c r="P60" s="274">
        <f t="shared" si="4"/>
        <v>10069.44</v>
      </c>
      <c r="Q60" s="237">
        <f t="shared" si="5"/>
        <v>153.4</v>
      </c>
      <c r="R60" s="194"/>
    </row>
    <row r="61" spans="2:18" s="121" customFormat="1" ht="16.5" customHeight="1" x14ac:dyDescent="0.2">
      <c r="B61" s="120"/>
      <c r="C61" s="56" t="s">
        <v>230</v>
      </c>
      <c r="D61" s="56" t="s">
        <v>96</v>
      </c>
      <c r="E61" s="57" t="s">
        <v>350</v>
      </c>
      <c r="F61" s="58" t="s">
        <v>351</v>
      </c>
      <c r="G61" s="59" t="s">
        <v>99</v>
      </c>
      <c r="H61" s="60">
        <v>6</v>
      </c>
      <c r="I61" s="61">
        <v>808.86</v>
      </c>
      <c r="J61" s="60">
        <v>4853.2</v>
      </c>
      <c r="K61" s="68">
        <v>0</v>
      </c>
      <c r="L61" s="69">
        <f t="shared" si="0"/>
        <v>808.86</v>
      </c>
      <c r="M61" s="273">
        <f t="shared" si="1"/>
        <v>0</v>
      </c>
      <c r="N61" s="71">
        <f t="shared" si="2"/>
        <v>6</v>
      </c>
      <c r="O61" s="72">
        <f t="shared" si="3"/>
        <v>808.86</v>
      </c>
      <c r="P61" s="274">
        <f t="shared" si="4"/>
        <v>4853.16</v>
      </c>
      <c r="Q61" s="237">
        <f t="shared" si="5"/>
        <v>6.19</v>
      </c>
      <c r="R61" s="194"/>
    </row>
    <row r="62" spans="2:18" s="121" customFormat="1" ht="16.5" customHeight="1" x14ac:dyDescent="0.2">
      <c r="B62" s="120"/>
      <c r="C62" s="73" t="s">
        <v>233</v>
      </c>
      <c r="D62" s="73" t="s">
        <v>209</v>
      </c>
      <c r="E62" s="74" t="s">
        <v>353</v>
      </c>
      <c r="F62" s="75" t="s">
        <v>354</v>
      </c>
      <c r="G62" s="76" t="s">
        <v>99</v>
      </c>
      <c r="H62" s="77">
        <v>3</v>
      </c>
      <c r="I62" s="78">
        <v>3481.39</v>
      </c>
      <c r="J62" s="77">
        <v>10444.200000000001</v>
      </c>
      <c r="K62" s="68">
        <v>0</v>
      </c>
      <c r="L62" s="69">
        <f t="shared" si="0"/>
        <v>3481.39</v>
      </c>
      <c r="M62" s="273">
        <f t="shared" si="1"/>
        <v>0</v>
      </c>
      <c r="N62" s="71">
        <f t="shared" si="2"/>
        <v>3</v>
      </c>
      <c r="O62" s="72">
        <f t="shared" si="3"/>
        <v>3481.39</v>
      </c>
      <c r="P62" s="274">
        <f t="shared" si="4"/>
        <v>10444.17</v>
      </c>
      <c r="Q62" s="237">
        <f t="shared" si="5"/>
        <v>3.1</v>
      </c>
      <c r="R62" s="194"/>
    </row>
    <row r="63" spans="2:18" s="121" customFormat="1" ht="16.5" customHeight="1" x14ac:dyDescent="0.2">
      <c r="B63" s="120"/>
      <c r="C63" s="73" t="s">
        <v>236</v>
      </c>
      <c r="D63" s="73" t="s">
        <v>209</v>
      </c>
      <c r="E63" s="74" t="s">
        <v>359</v>
      </c>
      <c r="F63" s="75" t="s">
        <v>360</v>
      </c>
      <c r="G63" s="76" t="s">
        <v>99</v>
      </c>
      <c r="H63" s="77">
        <v>3</v>
      </c>
      <c r="I63" s="78">
        <v>775.98</v>
      </c>
      <c r="J63" s="77">
        <v>2327.9</v>
      </c>
      <c r="K63" s="68">
        <v>0</v>
      </c>
      <c r="L63" s="69">
        <f t="shared" si="0"/>
        <v>775.98</v>
      </c>
      <c r="M63" s="273">
        <f t="shared" si="1"/>
        <v>0</v>
      </c>
      <c r="N63" s="71">
        <f t="shared" si="2"/>
        <v>3</v>
      </c>
      <c r="O63" s="72">
        <f t="shared" si="3"/>
        <v>775.98</v>
      </c>
      <c r="P63" s="274">
        <f t="shared" si="4"/>
        <v>2327.94</v>
      </c>
      <c r="Q63" s="237">
        <f t="shared" si="5"/>
        <v>3.1</v>
      </c>
      <c r="R63" s="194"/>
    </row>
    <row r="64" spans="2:18" s="121" customFormat="1" ht="16.5" customHeight="1" x14ac:dyDescent="0.2">
      <c r="B64" s="120"/>
      <c r="C64" s="73" t="s">
        <v>239</v>
      </c>
      <c r="D64" s="73" t="s">
        <v>209</v>
      </c>
      <c r="E64" s="74" t="s">
        <v>362</v>
      </c>
      <c r="F64" s="75" t="s">
        <v>363</v>
      </c>
      <c r="G64" s="76" t="s">
        <v>99</v>
      </c>
      <c r="H64" s="77">
        <v>7</v>
      </c>
      <c r="I64" s="78">
        <v>211.75</v>
      </c>
      <c r="J64" s="77">
        <v>1482.3</v>
      </c>
      <c r="K64" s="68">
        <v>0</v>
      </c>
      <c r="L64" s="69">
        <f t="shared" si="0"/>
        <v>211.75</v>
      </c>
      <c r="M64" s="273">
        <f t="shared" si="1"/>
        <v>0</v>
      </c>
      <c r="N64" s="71">
        <f t="shared" si="2"/>
        <v>7</v>
      </c>
      <c r="O64" s="72">
        <f t="shared" si="3"/>
        <v>211.75</v>
      </c>
      <c r="P64" s="274">
        <f t="shared" si="4"/>
        <v>1482.25</v>
      </c>
      <c r="Q64" s="237">
        <f t="shared" si="5"/>
        <v>7.23</v>
      </c>
      <c r="R64" s="194"/>
    </row>
    <row r="65" spans="2:18" s="121" customFormat="1" ht="16.5" customHeight="1" x14ac:dyDescent="0.2">
      <c r="B65" s="120"/>
      <c r="C65" s="56" t="s">
        <v>242</v>
      </c>
      <c r="D65" s="56" t="s">
        <v>96</v>
      </c>
      <c r="E65" s="57" t="s">
        <v>365</v>
      </c>
      <c r="F65" s="58" t="s">
        <v>366</v>
      </c>
      <c r="G65" s="59" t="s">
        <v>99</v>
      </c>
      <c r="H65" s="60">
        <v>4</v>
      </c>
      <c r="I65" s="61">
        <v>808.86</v>
      </c>
      <c r="J65" s="60">
        <v>3235.4</v>
      </c>
      <c r="K65" s="68">
        <v>0</v>
      </c>
      <c r="L65" s="69">
        <f t="shared" si="0"/>
        <v>808.86</v>
      </c>
      <c r="M65" s="273">
        <f t="shared" si="1"/>
        <v>0</v>
      </c>
      <c r="N65" s="71">
        <f t="shared" si="2"/>
        <v>4</v>
      </c>
      <c r="O65" s="72">
        <f t="shared" si="3"/>
        <v>808.86</v>
      </c>
      <c r="P65" s="274">
        <f t="shared" si="4"/>
        <v>3235.44</v>
      </c>
      <c r="Q65" s="237">
        <f t="shared" si="5"/>
        <v>4.13</v>
      </c>
      <c r="R65" s="194"/>
    </row>
    <row r="66" spans="2:18" s="121" customFormat="1" ht="16.5" customHeight="1" x14ac:dyDescent="0.2">
      <c r="B66" s="120"/>
      <c r="C66" s="73" t="s">
        <v>245</v>
      </c>
      <c r="D66" s="73" t="s">
        <v>209</v>
      </c>
      <c r="E66" s="74" t="s">
        <v>368</v>
      </c>
      <c r="F66" s="75" t="s">
        <v>369</v>
      </c>
      <c r="G66" s="76" t="s">
        <v>99</v>
      </c>
      <c r="H66" s="77">
        <v>4</v>
      </c>
      <c r="I66" s="78">
        <v>1530.92</v>
      </c>
      <c r="J66" s="77">
        <v>6123.7</v>
      </c>
      <c r="K66" s="68">
        <v>0</v>
      </c>
      <c r="L66" s="69">
        <f t="shared" si="0"/>
        <v>1530.92</v>
      </c>
      <c r="M66" s="273">
        <f t="shared" si="1"/>
        <v>0</v>
      </c>
      <c r="N66" s="71">
        <f t="shared" si="2"/>
        <v>4</v>
      </c>
      <c r="O66" s="72">
        <f t="shared" si="3"/>
        <v>1530.92</v>
      </c>
      <c r="P66" s="274">
        <f t="shared" si="4"/>
        <v>6123.68</v>
      </c>
      <c r="Q66" s="237">
        <f t="shared" si="5"/>
        <v>4.13</v>
      </c>
      <c r="R66" s="194"/>
    </row>
    <row r="67" spans="2:18" s="121" customFormat="1" ht="16.5" customHeight="1" x14ac:dyDescent="0.2">
      <c r="B67" s="120"/>
      <c r="C67" s="56" t="s">
        <v>248</v>
      </c>
      <c r="D67" s="56" t="s">
        <v>96</v>
      </c>
      <c r="E67" s="57" t="s">
        <v>371</v>
      </c>
      <c r="F67" s="58" t="s">
        <v>372</v>
      </c>
      <c r="G67" s="59" t="s">
        <v>99</v>
      </c>
      <c r="H67" s="60">
        <v>4</v>
      </c>
      <c r="I67" s="61">
        <v>3234.12</v>
      </c>
      <c r="J67" s="60">
        <v>12936.5</v>
      </c>
      <c r="K67" s="68">
        <v>0</v>
      </c>
      <c r="L67" s="69">
        <f t="shared" si="0"/>
        <v>3234.12</v>
      </c>
      <c r="M67" s="273">
        <f t="shared" si="1"/>
        <v>0</v>
      </c>
      <c r="N67" s="71">
        <f t="shared" si="2"/>
        <v>4</v>
      </c>
      <c r="O67" s="72">
        <f t="shared" si="3"/>
        <v>3234.12</v>
      </c>
      <c r="P67" s="274">
        <f t="shared" si="4"/>
        <v>12936.48</v>
      </c>
      <c r="Q67" s="237">
        <f t="shared" si="5"/>
        <v>4.13</v>
      </c>
      <c r="R67" s="194"/>
    </row>
    <row r="68" spans="2:18" s="121" customFormat="1" ht="16.5" customHeight="1" x14ac:dyDescent="0.2">
      <c r="B68" s="120"/>
      <c r="C68" s="73" t="s">
        <v>251</v>
      </c>
      <c r="D68" s="73" t="s">
        <v>209</v>
      </c>
      <c r="E68" s="74" t="s">
        <v>374</v>
      </c>
      <c r="F68" s="75" t="s">
        <v>375</v>
      </c>
      <c r="G68" s="76" t="s">
        <v>99</v>
      </c>
      <c r="H68" s="77">
        <v>4</v>
      </c>
      <c r="I68" s="78">
        <v>14588.41</v>
      </c>
      <c r="J68" s="77">
        <v>58353.599999999999</v>
      </c>
      <c r="K68" s="68">
        <v>0</v>
      </c>
      <c r="L68" s="69">
        <f t="shared" si="0"/>
        <v>14588.41</v>
      </c>
      <c r="M68" s="273">
        <f t="shared" si="1"/>
        <v>0</v>
      </c>
      <c r="N68" s="71">
        <f t="shared" si="2"/>
        <v>4</v>
      </c>
      <c r="O68" s="72">
        <f t="shared" si="3"/>
        <v>14588.41</v>
      </c>
      <c r="P68" s="274">
        <f t="shared" si="4"/>
        <v>58353.64</v>
      </c>
      <c r="Q68" s="237">
        <f t="shared" si="5"/>
        <v>4.13</v>
      </c>
      <c r="R68" s="194"/>
    </row>
    <row r="69" spans="2:18" s="121" customFormat="1" ht="16.5" customHeight="1" x14ac:dyDescent="0.2">
      <c r="B69" s="120"/>
      <c r="C69" s="56" t="s">
        <v>254</v>
      </c>
      <c r="D69" s="56" t="s">
        <v>96</v>
      </c>
      <c r="E69" s="57" t="s">
        <v>377</v>
      </c>
      <c r="F69" s="58" t="s">
        <v>378</v>
      </c>
      <c r="G69" s="59" t="s">
        <v>99</v>
      </c>
      <c r="H69" s="60">
        <v>4</v>
      </c>
      <c r="I69" s="61">
        <v>485.32</v>
      </c>
      <c r="J69" s="60">
        <v>1941.3</v>
      </c>
      <c r="K69" s="68">
        <v>0</v>
      </c>
      <c r="L69" s="69">
        <f t="shared" si="0"/>
        <v>485.32</v>
      </c>
      <c r="M69" s="273">
        <f t="shared" si="1"/>
        <v>0</v>
      </c>
      <c r="N69" s="71">
        <f t="shared" si="2"/>
        <v>4</v>
      </c>
      <c r="O69" s="72">
        <f t="shared" si="3"/>
        <v>485.32</v>
      </c>
      <c r="P69" s="274">
        <f t="shared" si="4"/>
        <v>1941.28</v>
      </c>
      <c r="Q69" s="237">
        <f t="shared" si="5"/>
        <v>4.13</v>
      </c>
      <c r="R69" s="194"/>
    </row>
    <row r="70" spans="2:18" s="121" customFormat="1" ht="16.5" customHeight="1" x14ac:dyDescent="0.2">
      <c r="B70" s="120"/>
      <c r="C70" s="73" t="s">
        <v>258</v>
      </c>
      <c r="D70" s="73" t="s">
        <v>209</v>
      </c>
      <c r="E70" s="74" t="s">
        <v>380</v>
      </c>
      <c r="F70" s="75" t="s">
        <v>381</v>
      </c>
      <c r="G70" s="76" t="s">
        <v>99</v>
      </c>
      <c r="H70" s="77">
        <v>4</v>
      </c>
      <c r="I70" s="78">
        <v>6510.34</v>
      </c>
      <c r="J70" s="77">
        <v>26041.4</v>
      </c>
      <c r="K70" s="68">
        <v>0</v>
      </c>
      <c r="L70" s="69">
        <f t="shared" si="0"/>
        <v>6510.34</v>
      </c>
      <c r="M70" s="273">
        <f t="shared" si="1"/>
        <v>0</v>
      </c>
      <c r="N70" s="71">
        <f t="shared" si="2"/>
        <v>4</v>
      </c>
      <c r="O70" s="72">
        <f t="shared" si="3"/>
        <v>6510.34</v>
      </c>
      <c r="P70" s="274">
        <f t="shared" si="4"/>
        <v>26041.360000000001</v>
      </c>
      <c r="Q70" s="237">
        <f t="shared" si="5"/>
        <v>4.13</v>
      </c>
      <c r="R70" s="194"/>
    </row>
    <row r="71" spans="2:18" s="121" customFormat="1" ht="16.5" customHeight="1" x14ac:dyDescent="0.2">
      <c r="B71" s="120"/>
      <c r="C71" s="56" t="s">
        <v>261</v>
      </c>
      <c r="D71" s="56" t="s">
        <v>96</v>
      </c>
      <c r="E71" s="57" t="s">
        <v>383</v>
      </c>
      <c r="F71" s="58" t="s">
        <v>384</v>
      </c>
      <c r="G71" s="59" t="s">
        <v>133</v>
      </c>
      <c r="H71" s="60">
        <v>148.58000000000001</v>
      </c>
      <c r="I71" s="61">
        <v>9.2100000000000009</v>
      </c>
      <c r="J71" s="60">
        <v>1368.4</v>
      </c>
      <c r="K71" s="68">
        <f t="shared" ref="K71" si="10">ROUND(152.9/153.4*Q71-Q71,2)</f>
        <v>-0.5</v>
      </c>
      <c r="L71" s="69">
        <f t="shared" si="0"/>
        <v>9.2100000000000009</v>
      </c>
      <c r="M71" s="273">
        <f t="shared" si="1"/>
        <v>-4.6050000000000004</v>
      </c>
      <c r="N71" s="71">
        <f t="shared" si="2"/>
        <v>148.08000000000001</v>
      </c>
      <c r="O71" s="72">
        <f t="shared" si="3"/>
        <v>9.2100000000000009</v>
      </c>
      <c r="P71" s="274">
        <f t="shared" si="4"/>
        <v>1363.8168000000003</v>
      </c>
      <c r="Q71" s="237">
        <f t="shared" si="5"/>
        <v>153.4</v>
      </c>
      <c r="R71" s="194"/>
    </row>
    <row r="72" spans="2:18" s="170" customFormat="1" ht="22.9" customHeight="1" x14ac:dyDescent="0.2">
      <c r="B72" s="165"/>
      <c r="C72" s="252"/>
      <c r="D72" s="253" t="s">
        <v>4</v>
      </c>
      <c r="E72" s="254" t="s">
        <v>118</v>
      </c>
      <c r="F72" s="254" t="s">
        <v>385</v>
      </c>
      <c r="G72" s="252"/>
      <c r="H72" s="252"/>
      <c r="I72" s="255"/>
      <c r="J72" s="256">
        <f>+SUBTOTAL(9,J73:J74)</f>
        <v>49084.9</v>
      </c>
      <c r="K72" s="261">
        <v>0</v>
      </c>
      <c r="L72" s="262">
        <f t="shared" si="0"/>
        <v>0</v>
      </c>
      <c r="M72" s="279">
        <f>M73+M74</f>
        <v>0</v>
      </c>
      <c r="N72" s="280">
        <f t="shared" si="2"/>
        <v>0</v>
      </c>
      <c r="O72" s="262">
        <f t="shared" si="3"/>
        <v>0</v>
      </c>
      <c r="P72" s="279">
        <f>P73+P74</f>
        <v>49084.932000000001</v>
      </c>
      <c r="Q72" s="237"/>
      <c r="R72" s="194"/>
    </row>
    <row r="73" spans="2:18" s="121" customFormat="1" ht="16.5" customHeight="1" x14ac:dyDescent="0.2">
      <c r="B73" s="120"/>
      <c r="C73" s="56" t="s">
        <v>264</v>
      </c>
      <c r="D73" s="56" t="s">
        <v>96</v>
      </c>
      <c r="E73" s="57" t="s">
        <v>387</v>
      </c>
      <c r="F73" s="58" t="s">
        <v>388</v>
      </c>
      <c r="G73" s="59" t="s">
        <v>133</v>
      </c>
      <c r="H73" s="60">
        <v>306.8</v>
      </c>
      <c r="I73" s="61">
        <v>87.65</v>
      </c>
      <c r="J73" s="60">
        <v>26891</v>
      </c>
      <c r="K73" s="68">
        <v>0</v>
      </c>
      <c r="L73" s="69">
        <f t="shared" si="0"/>
        <v>87.65</v>
      </c>
      <c r="M73" s="273">
        <f t="shared" si="1"/>
        <v>0</v>
      </c>
      <c r="N73" s="71">
        <f t="shared" si="2"/>
        <v>306.8</v>
      </c>
      <c r="O73" s="72">
        <f t="shared" si="3"/>
        <v>87.65</v>
      </c>
      <c r="P73" s="274">
        <f t="shared" si="4"/>
        <v>26891.020000000004</v>
      </c>
      <c r="Q73" s="237">
        <f t="shared" si="5"/>
        <v>316.75</v>
      </c>
      <c r="R73" s="194"/>
    </row>
    <row r="74" spans="2:18" s="121" customFormat="1" ht="16.5" customHeight="1" x14ac:dyDescent="0.2">
      <c r="B74" s="120"/>
      <c r="C74" s="56" t="s">
        <v>267</v>
      </c>
      <c r="D74" s="56" t="s">
        <v>96</v>
      </c>
      <c r="E74" s="57" t="s">
        <v>390</v>
      </c>
      <c r="F74" s="58" t="s">
        <v>391</v>
      </c>
      <c r="G74" s="59" t="s">
        <v>133</v>
      </c>
      <c r="H74" s="60">
        <v>306.8</v>
      </c>
      <c r="I74" s="61">
        <v>72.34</v>
      </c>
      <c r="J74" s="60">
        <v>22193.9</v>
      </c>
      <c r="K74" s="68">
        <v>0</v>
      </c>
      <c r="L74" s="69">
        <f t="shared" si="0"/>
        <v>72.34</v>
      </c>
      <c r="M74" s="273">
        <f t="shared" si="1"/>
        <v>0</v>
      </c>
      <c r="N74" s="71">
        <f t="shared" si="2"/>
        <v>306.8</v>
      </c>
      <c r="O74" s="72">
        <f t="shared" si="3"/>
        <v>72.34</v>
      </c>
      <c r="P74" s="274">
        <f t="shared" si="4"/>
        <v>22193.912</v>
      </c>
      <c r="Q74" s="237">
        <f t="shared" si="5"/>
        <v>316.75</v>
      </c>
      <c r="R74" s="194"/>
    </row>
    <row r="75" spans="2:18" s="170" customFormat="1" ht="22.9" customHeight="1" x14ac:dyDescent="0.2">
      <c r="B75" s="165"/>
      <c r="C75" s="252"/>
      <c r="D75" s="253" t="s">
        <v>4</v>
      </c>
      <c r="E75" s="254" t="s">
        <v>398</v>
      </c>
      <c r="F75" s="254" t="s">
        <v>399</v>
      </c>
      <c r="G75" s="252"/>
      <c r="H75" s="252"/>
      <c r="I75" s="255"/>
      <c r="J75" s="256">
        <f>+SUBTOTAL(9,J76:J78)</f>
        <v>62414</v>
      </c>
      <c r="K75" s="261">
        <v>0</v>
      </c>
      <c r="L75" s="262">
        <f t="shared" si="0"/>
        <v>0</v>
      </c>
      <c r="M75" s="279">
        <f>SUM(M76:M78)</f>
        <v>-136.08150000000001</v>
      </c>
      <c r="N75" s="280">
        <f t="shared" si="2"/>
        <v>0</v>
      </c>
      <c r="O75" s="262">
        <f t="shared" si="3"/>
        <v>0</v>
      </c>
      <c r="P75" s="279">
        <f>SUM(P76:P78)</f>
        <v>62277.915399999998</v>
      </c>
      <c r="Q75" s="237"/>
      <c r="R75" s="194"/>
    </row>
    <row r="76" spans="2:18" s="121" customFormat="1" ht="16.5" customHeight="1" x14ac:dyDescent="0.2">
      <c r="B76" s="120"/>
      <c r="C76" s="56" t="s">
        <v>270</v>
      </c>
      <c r="D76" s="56" t="s">
        <v>96</v>
      </c>
      <c r="E76" s="57" t="s">
        <v>401</v>
      </c>
      <c r="F76" s="58" t="s">
        <v>402</v>
      </c>
      <c r="G76" s="59" t="s">
        <v>201</v>
      </c>
      <c r="H76" s="60">
        <v>158.68</v>
      </c>
      <c r="I76" s="61">
        <v>183.8</v>
      </c>
      <c r="J76" s="60">
        <v>29165.4</v>
      </c>
      <c r="K76" s="68">
        <f t="shared" ref="K76" si="11">ROUND(152.9/153.4*Q76-Q76,2)</f>
        <v>-0.53</v>
      </c>
      <c r="L76" s="69">
        <f t="shared" si="0"/>
        <v>183.8</v>
      </c>
      <c r="M76" s="273">
        <f t="shared" si="1"/>
        <v>-97.414000000000016</v>
      </c>
      <c r="N76" s="71">
        <f t="shared" si="2"/>
        <v>158.15</v>
      </c>
      <c r="O76" s="72">
        <f t="shared" si="3"/>
        <v>183.8</v>
      </c>
      <c r="P76" s="274">
        <f t="shared" si="4"/>
        <v>29067.97</v>
      </c>
      <c r="Q76" s="237">
        <f t="shared" si="5"/>
        <v>163.83000000000001</v>
      </c>
      <c r="R76" s="194"/>
    </row>
    <row r="77" spans="2:18" s="121" customFormat="1" ht="16.5" customHeight="1" x14ac:dyDescent="0.2">
      <c r="B77" s="120"/>
      <c r="C77" s="56" t="s">
        <v>273</v>
      </c>
      <c r="D77" s="56" t="s">
        <v>96</v>
      </c>
      <c r="E77" s="57" t="s">
        <v>407</v>
      </c>
      <c r="F77" s="58" t="s">
        <v>408</v>
      </c>
      <c r="G77" s="59" t="s">
        <v>201</v>
      </c>
      <c r="H77" s="60">
        <v>84.43</v>
      </c>
      <c r="I77" s="61">
        <v>257.77999999999997</v>
      </c>
      <c r="J77" s="60">
        <v>21764.400000000001</v>
      </c>
      <c r="K77" s="68">
        <v>0</v>
      </c>
      <c r="L77" s="69">
        <f t="shared" si="0"/>
        <v>257.77999999999997</v>
      </c>
      <c r="M77" s="273">
        <f t="shared" si="1"/>
        <v>0</v>
      </c>
      <c r="N77" s="71">
        <f t="shared" si="2"/>
        <v>84.43</v>
      </c>
      <c r="O77" s="72">
        <f t="shared" si="3"/>
        <v>257.77999999999997</v>
      </c>
      <c r="P77" s="274">
        <f t="shared" si="4"/>
        <v>21764.365399999999</v>
      </c>
      <c r="Q77" s="237">
        <f t="shared" si="5"/>
        <v>87.17</v>
      </c>
      <c r="R77" s="194"/>
    </row>
    <row r="78" spans="2:18" s="121" customFormat="1" ht="16.5" customHeight="1" x14ac:dyDescent="0.2">
      <c r="B78" s="120"/>
      <c r="C78" s="56" t="s">
        <v>276</v>
      </c>
      <c r="D78" s="56" t="s">
        <v>96</v>
      </c>
      <c r="E78" s="57" t="s">
        <v>410</v>
      </c>
      <c r="F78" s="58" t="s">
        <v>411</v>
      </c>
      <c r="G78" s="59" t="s">
        <v>201</v>
      </c>
      <c r="H78" s="60">
        <v>74.25</v>
      </c>
      <c r="I78" s="61">
        <v>154.66999999999999</v>
      </c>
      <c r="J78" s="60">
        <v>11484.2</v>
      </c>
      <c r="K78" s="68">
        <f t="shared" ref="K78" si="12">ROUND(152.9/153.4*Q78-Q78,2)</f>
        <v>-0.25</v>
      </c>
      <c r="L78" s="69">
        <f t="shared" si="0"/>
        <v>154.66999999999999</v>
      </c>
      <c r="M78" s="273">
        <f t="shared" si="1"/>
        <v>-38.667499999999997</v>
      </c>
      <c r="N78" s="71">
        <f t="shared" si="2"/>
        <v>74</v>
      </c>
      <c r="O78" s="72">
        <f t="shared" si="3"/>
        <v>154.66999999999999</v>
      </c>
      <c r="P78" s="274">
        <f t="shared" si="4"/>
        <v>11445.58</v>
      </c>
      <c r="Q78" s="237">
        <f t="shared" si="5"/>
        <v>76.66</v>
      </c>
      <c r="R78" s="194"/>
    </row>
    <row r="79" spans="2:18" s="170" customFormat="1" ht="22.9" customHeight="1" x14ac:dyDescent="0.2">
      <c r="B79" s="165"/>
      <c r="C79" s="252"/>
      <c r="D79" s="253" t="s">
        <v>4</v>
      </c>
      <c r="E79" s="254" t="s">
        <v>412</v>
      </c>
      <c r="F79" s="254" t="s">
        <v>413</v>
      </c>
      <c r="G79" s="252"/>
      <c r="H79" s="252"/>
      <c r="I79" s="255"/>
      <c r="J79" s="256">
        <f>+SUBTOTAL(9,J80)</f>
        <v>47462.6</v>
      </c>
      <c r="K79" s="261">
        <v>0</v>
      </c>
      <c r="L79" s="262">
        <f t="shared" si="0"/>
        <v>0</v>
      </c>
      <c r="M79" s="279">
        <f>M80</f>
        <v>-160.18799999999999</v>
      </c>
      <c r="N79" s="280">
        <f t="shared" si="2"/>
        <v>0</v>
      </c>
      <c r="O79" s="262">
        <f t="shared" si="3"/>
        <v>0</v>
      </c>
      <c r="P79" s="279">
        <f>P80</f>
        <v>47302.372200000005</v>
      </c>
      <c r="Q79" s="237"/>
      <c r="R79" s="194"/>
    </row>
    <row r="80" spans="2:18" s="121" customFormat="1" ht="16.5" customHeight="1" x14ac:dyDescent="0.2">
      <c r="B80" s="120"/>
      <c r="C80" s="56" t="s">
        <v>279</v>
      </c>
      <c r="D80" s="56" t="s">
        <v>96</v>
      </c>
      <c r="E80" s="57" t="s">
        <v>415</v>
      </c>
      <c r="F80" s="58" t="s">
        <v>416</v>
      </c>
      <c r="G80" s="59" t="s">
        <v>201</v>
      </c>
      <c r="H80" s="60">
        <v>414.81</v>
      </c>
      <c r="I80" s="61">
        <v>114.42</v>
      </c>
      <c r="J80" s="60">
        <v>47462.6</v>
      </c>
      <c r="K80" s="68">
        <f t="shared" ref="K80" si="13">ROUND(152.9/153.4*Q80-Q80,2)</f>
        <v>-1.4</v>
      </c>
      <c r="L80" s="69">
        <f t="shared" ref="L80" si="14">I80</f>
        <v>114.42</v>
      </c>
      <c r="M80" s="273">
        <f t="shared" ref="M80" si="15">K80*L80</f>
        <v>-160.18799999999999</v>
      </c>
      <c r="N80" s="71">
        <f t="shared" ref="N80" si="16">H80+K80</f>
        <v>413.41</v>
      </c>
      <c r="O80" s="72">
        <f t="shared" ref="O80" si="17">I80</f>
        <v>114.42</v>
      </c>
      <c r="P80" s="274">
        <f t="shared" ref="P80" si="18">N80*O80</f>
        <v>47302.372200000005</v>
      </c>
      <c r="Q80" s="237">
        <f t="shared" ref="Q80" si="19">ROUND(153.4/148.58*H80,2)</f>
        <v>428.27</v>
      </c>
      <c r="R80" s="194"/>
    </row>
    <row r="81" spans="2:16" s="121" customFormat="1" ht="6.95" customHeight="1" x14ac:dyDescent="0.2">
      <c r="B81" s="120"/>
      <c r="C81" s="120"/>
      <c r="D81" s="120"/>
      <c r="E81" s="120"/>
      <c r="F81" s="120"/>
      <c r="G81" s="120"/>
      <c r="H81" s="120"/>
      <c r="I81" s="153"/>
      <c r="J81" s="120"/>
    </row>
    <row r="82" spans="2:16" ht="18" customHeight="1" x14ac:dyDescent="0.2">
      <c r="D82" s="42"/>
      <c r="E82" s="43" t="s">
        <v>879</v>
      </c>
      <c r="F82" s="44"/>
      <c r="G82" s="44"/>
      <c r="H82" s="45"/>
      <c r="I82" s="44"/>
      <c r="J82" s="46">
        <f>J12</f>
        <v>1743664.4999999993</v>
      </c>
      <c r="K82" s="49"/>
      <c r="L82" s="46"/>
      <c r="M82" s="281">
        <f>M79+M75+M72+M51+M45+M40+M37+M14</f>
        <v>-4048.1815000000001</v>
      </c>
      <c r="N82" s="281"/>
      <c r="O82" s="281"/>
      <c r="P82" s="281">
        <f t="shared" ref="P82" si="20">P79+P75+P72+P51+P45+P40+P37+P14</f>
        <v>1739616.4855999998</v>
      </c>
    </row>
    <row r="83" spans="2:16" ht="12.75" x14ac:dyDescent="0.2">
      <c r="H83" s="50"/>
      <c r="I83" s="8"/>
      <c r="J83" s="9"/>
    </row>
    <row r="84" spans="2:16" ht="14.25" x14ac:dyDescent="0.2">
      <c r="F84" s="6" t="s">
        <v>849</v>
      </c>
      <c r="G84" s="6"/>
      <c r="H84" s="320" t="s">
        <v>1224</v>
      </c>
      <c r="I84" s="50"/>
      <c r="K84" s="6"/>
      <c r="L84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D9:H10" name="Oblast1_2_1"/>
  </protectedRanges>
  <autoFilter ref="B10:P80" xr:uid="{00000000-0009-0000-0000-000004000000}"/>
  <mergeCells count="2">
    <mergeCell ref="K9:M9"/>
    <mergeCell ref="N9:P9"/>
  </mergeCells>
  <pageMargins left="0.39370078740157483" right="0.39370078740157483" top="0.39370078740157483" bottom="0.39370078740157483" header="0" footer="0"/>
  <pageSetup paperSize="9" scale="61" fitToHeight="0" orientation="landscape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T81"/>
  <sheetViews>
    <sheetView showGridLines="0" view="pageBreakPreview" topLeftCell="A61" zoomScale="85" zoomScaleNormal="100" zoomScaleSheetLayoutView="85" workbookViewId="0">
      <selection activeCell="G74" sqref="G74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6640625" style="8" bestFit="1" customWidth="1"/>
    <col min="11" max="32" width="17.6640625" style="8" customWidth="1"/>
    <col min="33" max="16384" width="9.33203125" style="8"/>
  </cols>
  <sheetData>
    <row r="1" spans="2:18" ht="18.95" customHeight="1" x14ac:dyDescent="0.2">
      <c r="F1" s="11"/>
      <c r="G1" s="89"/>
      <c r="H1" s="88"/>
      <c r="I1" s="8"/>
      <c r="J1" s="9"/>
    </row>
    <row r="2" spans="2:18" s="88" customFormat="1" ht="18" customHeight="1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</row>
    <row r="3" spans="2:18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18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18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18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18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18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A4 - Stoka A4</v>
      </c>
      <c r="M8" s="150"/>
      <c r="O8" s="151"/>
    </row>
    <row r="9" spans="2:18" s="15" customFormat="1" ht="20.100000000000001" customHeight="1" x14ac:dyDescent="0.2">
      <c r="B9" s="174"/>
      <c r="C9" s="174"/>
      <c r="D9" s="176"/>
      <c r="E9" s="176"/>
      <c r="F9" s="176"/>
      <c r="G9" s="176"/>
      <c r="H9" s="176"/>
      <c r="I9" s="177"/>
      <c r="J9" s="178"/>
      <c r="K9" s="339" t="s">
        <v>1208</v>
      </c>
      <c r="L9" s="339"/>
      <c r="M9" s="340"/>
      <c r="N9" s="341" t="s">
        <v>1215</v>
      </c>
      <c r="O9" s="341"/>
      <c r="P9" s="342"/>
    </row>
    <row r="10" spans="2:18" s="15" customFormat="1" ht="24" customHeight="1" x14ac:dyDescent="0.2">
      <c r="B10" s="16"/>
      <c r="C10" s="16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189" t="s">
        <v>924</v>
      </c>
      <c r="R10" s="189" t="s">
        <v>935</v>
      </c>
    </row>
    <row r="11" spans="2:18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18" s="121" customFormat="1" ht="22.9" customHeight="1" x14ac:dyDescent="0.25">
      <c r="B12" s="120"/>
      <c r="C12" s="152" t="s">
        <v>420</v>
      </c>
      <c r="D12" s="120"/>
      <c r="E12" s="120"/>
      <c r="F12" s="120"/>
      <c r="G12" s="120"/>
      <c r="H12" s="120"/>
      <c r="I12" s="153"/>
      <c r="J12" s="154">
        <f>+SUBTOTAL(9,J13:J77)</f>
        <v>478225.00000000012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18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+SUBTOTAL(9,J14:J77)</f>
        <v>478225.00000000012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18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+SUBTOTAL(9,J15:J36)</f>
        <v>226992.19999999995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SUM(M15:M36)</f>
        <v>3123.5176999999999</v>
      </c>
      <c r="N14" s="278" t="str">
        <f>IF(ISBLANK(H14),"",H14-K14)</f>
        <v/>
      </c>
      <c r="O14" s="272" t="str">
        <f>IF(ISBLANK(H14),"",J14-L14)</f>
        <v/>
      </c>
      <c r="P14" s="272">
        <f>SUM(P15:P36)</f>
        <v>230115.6966</v>
      </c>
      <c r="Q14" s="218" t="s">
        <v>1216</v>
      </c>
    </row>
    <row r="15" spans="2:18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47.3</v>
      </c>
      <c r="I15" s="61">
        <v>40.770000000000003</v>
      </c>
      <c r="J15" s="60">
        <v>1928.4</v>
      </c>
      <c r="K15" s="68">
        <f>ROUND(43.6/43*Q15-Q15,2)</f>
        <v>0.68</v>
      </c>
      <c r="L15" s="69">
        <f>I15</f>
        <v>40.770000000000003</v>
      </c>
      <c r="M15" s="273">
        <f>K15*L15</f>
        <v>27.723600000000005</v>
      </c>
      <c r="N15" s="71">
        <f>H15+K15</f>
        <v>47.98</v>
      </c>
      <c r="O15" s="72">
        <f>I15</f>
        <v>40.770000000000003</v>
      </c>
      <c r="P15" s="274">
        <f>N15*O15</f>
        <v>1956.1446000000001</v>
      </c>
      <c r="Q15" s="237">
        <f>ROUND(43/41.78*H15,2)</f>
        <v>48.68</v>
      </c>
    </row>
    <row r="16" spans="2:18" s="121" customFormat="1" ht="16.5" customHeight="1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90.3</v>
      </c>
      <c r="I16" s="61">
        <v>55.24</v>
      </c>
      <c r="J16" s="60">
        <v>4988.2</v>
      </c>
      <c r="K16" s="68">
        <v>0</v>
      </c>
      <c r="L16" s="69">
        <f t="shared" ref="L16:L77" si="0">I16</f>
        <v>55.24</v>
      </c>
      <c r="M16" s="273">
        <f t="shared" ref="M16:M77" si="1">K16*L16</f>
        <v>0</v>
      </c>
      <c r="N16" s="71">
        <f t="shared" ref="N16:N77" si="2">H16+K16</f>
        <v>90.3</v>
      </c>
      <c r="O16" s="72">
        <f t="shared" ref="O16:O77" si="3">I16</f>
        <v>55.24</v>
      </c>
      <c r="P16" s="274">
        <f t="shared" ref="P16:P77" si="4">N16*O16</f>
        <v>4988.1719999999996</v>
      </c>
      <c r="Q16" s="237">
        <f t="shared" ref="Q16:Q77" si="5">ROUND(43/41.78*H16,2)</f>
        <v>92.94</v>
      </c>
    </row>
    <row r="17" spans="2:20" s="121" customFormat="1" ht="16.5" customHeight="1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47.3</v>
      </c>
      <c r="I17" s="61">
        <v>98.64</v>
      </c>
      <c r="J17" s="60">
        <v>4665.7</v>
      </c>
      <c r="K17" s="68">
        <v>0</v>
      </c>
      <c r="L17" s="69">
        <f t="shared" si="0"/>
        <v>98.64</v>
      </c>
      <c r="M17" s="273">
        <f t="shared" si="1"/>
        <v>0</v>
      </c>
      <c r="N17" s="71">
        <f t="shared" si="2"/>
        <v>47.3</v>
      </c>
      <c r="O17" s="72">
        <f t="shared" si="3"/>
        <v>98.64</v>
      </c>
      <c r="P17" s="274">
        <f t="shared" si="4"/>
        <v>4665.6719999999996</v>
      </c>
      <c r="Q17" s="237">
        <f t="shared" si="5"/>
        <v>48.68</v>
      </c>
    </row>
    <row r="18" spans="2:20" s="121" customFormat="1" ht="16.5" customHeight="1" x14ac:dyDescent="0.2">
      <c r="B18" s="120"/>
      <c r="C18" s="56" t="s">
        <v>105</v>
      </c>
      <c r="D18" s="56" t="s">
        <v>96</v>
      </c>
      <c r="E18" s="57" t="s">
        <v>142</v>
      </c>
      <c r="F18" s="58" t="s">
        <v>143</v>
      </c>
      <c r="G18" s="59" t="s">
        <v>133</v>
      </c>
      <c r="H18" s="60">
        <v>2.2000000000000002</v>
      </c>
      <c r="I18" s="61">
        <v>170.98</v>
      </c>
      <c r="J18" s="60">
        <v>376.2</v>
      </c>
      <c r="K18" s="68">
        <f t="shared" ref="K18:K24" si="6">ROUND(43.6/43*Q18-Q18,2)</f>
        <v>0.03</v>
      </c>
      <c r="L18" s="69">
        <f t="shared" si="0"/>
        <v>170.98</v>
      </c>
      <c r="M18" s="273">
        <f t="shared" si="1"/>
        <v>5.1293999999999995</v>
      </c>
      <c r="N18" s="71">
        <f t="shared" si="2"/>
        <v>2.23</v>
      </c>
      <c r="O18" s="72">
        <f t="shared" si="3"/>
        <v>170.98</v>
      </c>
      <c r="P18" s="274">
        <f t="shared" si="4"/>
        <v>381.28539999999998</v>
      </c>
      <c r="Q18" s="237">
        <f t="shared" si="5"/>
        <v>2.2599999999999998</v>
      </c>
    </row>
    <row r="19" spans="2:20" s="121" customFormat="1" ht="16.5" customHeight="1" x14ac:dyDescent="0.2">
      <c r="B19" s="120"/>
      <c r="C19" s="56" t="s">
        <v>109</v>
      </c>
      <c r="D19" s="56" t="s">
        <v>96</v>
      </c>
      <c r="E19" s="57" t="s">
        <v>145</v>
      </c>
      <c r="F19" s="58" t="s">
        <v>146</v>
      </c>
      <c r="G19" s="59" t="s">
        <v>133</v>
      </c>
      <c r="H19" s="60">
        <v>2.2000000000000002</v>
      </c>
      <c r="I19" s="61">
        <v>147.30000000000001</v>
      </c>
      <c r="J19" s="60">
        <v>324.10000000000002</v>
      </c>
      <c r="K19" s="68">
        <f t="shared" si="6"/>
        <v>0.03</v>
      </c>
      <c r="L19" s="69">
        <f t="shared" si="0"/>
        <v>147.30000000000001</v>
      </c>
      <c r="M19" s="273">
        <f t="shared" si="1"/>
        <v>4.4190000000000005</v>
      </c>
      <c r="N19" s="71">
        <f t="shared" si="2"/>
        <v>2.23</v>
      </c>
      <c r="O19" s="72">
        <f t="shared" si="3"/>
        <v>147.30000000000001</v>
      </c>
      <c r="P19" s="274">
        <f t="shared" si="4"/>
        <v>328.47900000000004</v>
      </c>
      <c r="Q19" s="237">
        <f t="shared" si="5"/>
        <v>2.2599999999999998</v>
      </c>
    </row>
    <row r="20" spans="2:20" s="121" customFormat="1" ht="16.5" customHeight="1" x14ac:dyDescent="0.2">
      <c r="B20" s="120"/>
      <c r="C20" s="56" t="s">
        <v>112</v>
      </c>
      <c r="D20" s="56" t="s">
        <v>96</v>
      </c>
      <c r="E20" s="57" t="s">
        <v>155</v>
      </c>
      <c r="F20" s="58" t="s">
        <v>156</v>
      </c>
      <c r="G20" s="59" t="s">
        <v>150</v>
      </c>
      <c r="H20" s="60">
        <v>11.8</v>
      </c>
      <c r="I20" s="61">
        <v>257.77999999999997</v>
      </c>
      <c r="J20" s="60">
        <v>3041.8</v>
      </c>
      <c r="K20" s="68">
        <f t="shared" si="6"/>
        <v>0.17</v>
      </c>
      <c r="L20" s="69">
        <f t="shared" si="0"/>
        <v>257.77999999999997</v>
      </c>
      <c r="M20" s="273">
        <f t="shared" si="1"/>
        <v>43.822600000000001</v>
      </c>
      <c r="N20" s="71">
        <f t="shared" si="2"/>
        <v>11.97</v>
      </c>
      <c r="O20" s="72">
        <f t="shared" si="3"/>
        <v>257.77999999999997</v>
      </c>
      <c r="P20" s="274">
        <f t="shared" si="4"/>
        <v>3085.6266000000001</v>
      </c>
      <c r="Q20" s="237">
        <f t="shared" si="5"/>
        <v>12.14</v>
      </c>
    </row>
    <row r="21" spans="2:20" s="121" customFormat="1" ht="16.5" customHeight="1" x14ac:dyDescent="0.2">
      <c r="B21" s="120"/>
      <c r="C21" s="56" t="s">
        <v>115</v>
      </c>
      <c r="D21" s="56" t="s">
        <v>96</v>
      </c>
      <c r="E21" s="57" t="s">
        <v>157</v>
      </c>
      <c r="F21" s="58" t="s">
        <v>158</v>
      </c>
      <c r="G21" s="59" t="s">
        <v>150</v>
      </c>
      <c r="H21" s="60">
        <v>35.28</v>
      </c>
      <c r="I21" s="61">
        <v>257.77999999999997</v>
      </c>
      <c r="J21" s="60">
        <v>9094.5</v>
      </c>
      <c r="K21" s="68">
        <f t="shared" si="6"/>
        <v>0.51</v>
      </c>
      <c r="L21" s="69">
        <f t="shared" si="0"/>
        <v>257.77999999999997</v>
      </c>
      <c r="M21" s="273">
        <f t="shared" si="1"/>
        <v>131.46779999999998</v>
      </c>
      <c r="N21" s="71">
        <f t="shared" si="2"/>
        <v>35.79</v>
      </c>
      <c r="O21" s="72">
        <f t="shared" si="3"/>
        <v>257.77999999999997</v>
      </c>
      <c r="P21" s="274">
        <f t="shared" si="4"/>
        <v>9225.9461999999985</v>
      </c>
      <c r="Q21" s="237">
        <f t="shared" si="5"/>
        <v>36.31</v>
      </c>
    </row>
    <row r="22" spans="2:20" s="121" customFormat="1" ht="16.5" customHeight="1" x14ac:dyDescent="0.2">
      <c r="B22" s="120"/>
      <c r="C22" s="56" t="s">
        <v>118</v>
      </c>
      <c r="D22" s="56" t="s">
        <v>96</v>
      </c>
      <c r="E22" s="57" t="s">
        <v>160</v>
      </c>
      <c r="F22" s="58" t="s">
        <v>161</v>
      </c>
      <c r="G22" s="59" t="s">
        <v>150</v>
      </c>
      <c r="H22" s="60">
        <v>10.58</v>
      </c>
      <c r="I22" s="61">
        <v>13.15</v>
      </c>
      <c r="J22" s="60">
        <v>139.1</v>
      </c>
      <c r="K22" s="68">
        <f t="shared" si="6"/>
        <v>0.15</v>
      </c>
      <c r="L22" s="69">
        <f t="shared" si="0"/>
        <v>13.15</v>
      </c>
      <c r="M22" s="273">
        <f t="shared" si="1"/>
        <v>1.9724999999999999</v>
      </c>
      <c r="N22" s="71">
        <f t="shared" si="2"/>
        <v>10.73</v>
      </c>
      <c r="O22" s="72">
        <f t="shared" si="3"/>
        <v>13.15</v>
      </c>
      <c r="P22" s="274">
        <f t="shared" si="4"/>
        <v>141.09950000000001</v>
      </c>
      <c r="Q22" s="237">
        <f t="shared" si="5"/>
        <v>10.89</v>
      </c>
    </row>
    <row r="23" spans="2:20" s="121" customFormat="1" ht="16.5" customHeight="1" x14ac:dyDescent="0.2">
      <c r="B23" s="120"/>
      <c r="C23" s="56" t="s">
        <v>121</v>
      </c>
      <c r="D23" s="56" t="s">
        <v>96</v>
      </c>
      <c r="E23" s="57" t="s">
        <v>163</v>
      </c>
      <c r="F23" s="58" t="s">
        <v>164</v>
      </c>
      <c r="G23" s="59" t="s">
        <v>150</v>
      </c>
      <c r="H23" s="60">
        <v>16.989999999999998</v>
      </c>
      <c r="I23" s="61">
        <v>315.64999999999998</v>
      </c>
      <c r="J23" s="60">
        <v>5362.9</v>
      </c>
      <c r="K23" s="68">
        <f t="shared" si="6"/>
        <v>0.24</v>
      </c>
      <c r="L23" s="69">
        <f t="shared" si="0"/>
        <v>315.64999999999998</v>
      </c>
      <c r="M23" s="273">
        <f t="shared" si="1"/>
        <v>75.755999999999986</v>
      </c>
      <c r="N23" s="71">
        <f t="shared" si="2"/>
        <v>17.229999999999997</v>
      </c>
      <c r="O23" s="72">
        <f t="shared" si="3"/>
        <v>315.64999999999998</v>
      </c>
      <c r="P23" s="274">
        <f t="shared" si="4"/>
        <v>5438.6494999999986</v>
      </c>
      <c r="Q23" s="237">
        <f t="shared" si="5"/>
        <v>17.489999999999998</v>
      </c>
    </row>
    <row r="24" spans="2:20" s="121" customFormat="1" ht="16.5" customHeight="1" x14ac:dyDescent="0.2">
      <c r="B24" s="120"/>
      <c r="C24" s="56" t="s">
        <v>124</v>
      </c>
      <c r="D24" s="56" t="s">
        <v>96</v>
      </c>
      <c r="E24" s="57" t="s">
        <v>166</v>
      </c>
      <c r="F24" s="58" t="s">
        <v>167</v>
      </c>
      <c r="G24" s="59" t="s">
        <v>150</v>
      </c>
      <c r="H24" s="60">
        <v>5.0999999999999996</v>
      </c>
      <c r="I24" s="61">
        <v>15.78</v>
      </c>
      <c r="J24" s="60">
        <v>80.5</v>
      </c>
      <c r="K24" s="68">
        <f t="shared" si="6"/>
        <v>7.0000000000000007E-2</v>
      </c>
      <c r="L24" s="69">
        <f t="shared" si="0"/>
        <v>15.78</v>
      </c>
      <c r="M24" s="273">
        <f t="shared" si="1"/>
        <v>1.1046</v>
      </c>
      <c r="N24" s="71">
        <f t="shared" si="2"/>
        <v>5.17</v>
      </c>
      <c r="O24" s="72">
        <f t="shared" si="3"/>
        <v>15.78</v>
      </c>
      <c r="P24" s="274">
        <f t="shared" si="4"/>
        <v>81.582599999999999</v>
      </c>
      <c r="Q24" s="237">
        <f t="shared" si="5"/>
        <v>5.25</v>
      </c>
    </row>
    <row r="25" spans="2:20" s="121" customFormat="1" ht="23.85" customHeight="1" x14ac:dyDescent="0.2">
      <c r="B25" s="120"/>
      <c r="C25" s="56" t="s">
        <v>127</v>
      </c>
      <c r="D25" s="56" t="s">
        <v>96</v>
      </c>
      <c r="E25" s="57" t="s">
        <v>169</v>
      </c>
      <c r="F25" s="58" t="s">
        <v>170</v>
      </c>
      <c r="G25" s="59" t="s">
        <v>150</v>
      </c>
      <c r="H25" s="60">
        <v>5.31</v>
      </c>
      <c r="I25" s="61">
        <v>837.79</v>
      </c>
      <c r="J25" s="60">
        <v>4448.7</v>
      </c>
      <c r="K25" s="68">
        <f t="shared" ref="K25:K42" si="7">ROUND(43.6/43*Q25-Q25,2)</f>
        <v>0.08</v>
      </c>
      <c r="L25" s="69">
        <f t="shared" si="0"/>
        <v>837.79</v>
      </c>
      <c r="M25" s="273">
        <f t="shared" si="1"/>
        <v>67.023200000000003</v>
      </c>
      <c r="N25" s="71">
        <f t="shared" si="2"/>
        <v>5.39</v>
      </c>
      <c r="O25" s="72">
        <f t="shared" si="3"/>
        <v>837.79</v>
      </c>
      <c r="P25" s="274">
        <f t="shared" si="4"/>
        <v>4515.6880999999994</v>
      </c>
      <c r="Q25" s="237">
        <f t="shared" si="5"/>
        <v>5.47</v>
      </c>
    </row>
    <row r="26" spans="2:20" s="121" customFormat="1" ht="12" x14ac:dyDescent="0.2">
      <c r="B26" s="120"/>
      <c r="C26" s="56" t="s">
        <v>130</v>
      </c>
      <c r="D26" s="56" t="s">
        <v>96</v>
      </c>
      <c r="E26" s="57" t="s">
        <v>172</v>
      </c>
      <c r="F26" s="58" t="s">
        <v>173</v>
      </c>
      <c r="G26" s="59" t="s">
        <v>150</v>
      </c>
      <c r="H26" s="60">
        <v>60.41</v>
      </c>
      <c r="I26" s="61">
        <v>1116.6199999999999</v>
      </c>
      <c r="J26" s="60">
        <v>67455</v>
      </c>
      <c r="K26" s="68">
        <f t="shared" si="7"/>
        <v>0.87</v>
      </c>
      <c r="L26" s="69">
        <f t="shared" si="0"/>
        <v>1116.6199999999999</v>
      </c>
      <c r="M26" s="273">
        <f t="shared" si="1"/>
        <v>971.45939999999985</v>
      </c>
      <c r="N26" s="71">
        <f t="shared" si="2"/>
        <v>61.279999999999994</v>
      </c>
      <c r="O26" s="72">
        <f t="shared" si="3"/>
        <v>1116.6199999999999</v>
      </c>
      <c r="P26" s="274">
        <f t="shared" si="4"/>
        <v>68426.473599999983</v>
      </c>
      <c r="Q26" s="237">
        <f t="shared" si="5"/>
        <v>62.17</v>
      </c>
    </row>
    <row r="27" spans="2:20" s="121" customFormat="1" ht="16.5" customHeight="1" x14ac:dyDescent="0.2">
      <c r="B27" s="120"/>
      <c r="C27" s="56" t="s">
        <v>134</v>
      </c>
      <c r="D27" s="56" t="s">
        <v>96</v>
      </c>
      <c r="E27" s="57" t="s">
        <v>175</v>
      </c>
      <c r="F27" s="58" t="s">
        <v>176</v>
      </c>
      <c r="G27" s="59" t="s">
        <v>108</v>
      </c>
      <c r="H27" s="60">
        <v>232.16</v>
      </c>
      <c r="I27" s="61">
        <v>99.96</v>
      </c>
      <c r="J27" s="60">
        <v>23206.7</v>
      </c>
      <c r="K27" s="68">
        <f t="shared" si="7"/>
        <v>3.33</v>
      </c>
      <c r="L27" s="69">
        <f t="shared" si="0"/>
        <v>99.96</v>
      </c>
      <c r="M27" s="273">
        <f t="shared" si="1"/>
        <v>332.86680000000001</v>
      </c>
      <c r="N27" s="71">
        <f t="shared" si="2"/>
        <v>235.49</v>
      </c>
      <c r="O27" s="72">
        <f t="shared" si="3"/>
        <v>99.96</v>
      </c>
      <c r="P27" s="274">
        <f t="shared" si="4"/>
        <v>23539.580399999999</v>
      </c>
      <c r="Q27" s="237">
        <f t="shared" si="5"/>
        <v>238.94</v>
      </c>
    </row>
    <row r="28" spans="2:20" s="121" customFormat="1" ht="16.5" customHeight="1" x14ac:dyDescent="0.2">
      <c r="B28" s="120"/>
      <c r="C28" s="56" t="s">
        <v>2</v>
      </c>
      <c r="D28" s="56" t="s">
        <v>96</v>
      </c>
      <c r="E28" s="57" t="s">
        <v>181</v>
      </c>
      <c r="F28" s="58" t="s">
        <v>182</v>
      </c>
      <c r="G28" s="59" t="s">
        <v>108</v>
      </c>
      <c r="H28" s="60">
        <v>232.16</v>
      </c>
      <c r="I28" s="61">
        <v>149.94</v>
      </c>
      <c r="J28" s="60">
        <v>34810.1</v>
      </c>
      <c r="K28" s="68">
        <f t="shared" si="7"/>
        <v>3.33</v>
      </c>
      <c r="L28" s="69">
        <f t="shared" si="0"/>
        <v>149.94</v>
      </c>
      <c r="M28" s="273">
        <f t="shared" si="1"/>
        <v>499.30020000000002</v>
      </c>
      <c r="N28" s="71">
        <f t="shared" si="2"/>
        <v>235.49</v>
      </c>
      <c r="O28" s="72">
        <f t="shared" si="3"/>
        <v>149.94</v>
      </c>
      <c r="P28" s="274">
        <f t="shared" si="4"/>
        <v>35309.370600000002</v>
      </c>
      <c r="Q28" s="237">
        <f t="shared" si="5"/>
        <v>238.94</v>
      </c>
    </row>
    <row r="29" spans="2:20" s="121" customFormat="1" ht="16.5" customHeight="1" x14ac:dyDescent="0.2">
      <c r="B29" s="120"/>
      <c r="C29" s="56" t="s">
        <v>141</v>
      </c>
      <c r="D29" s="56" t="s">
        <v>96</v>
      </c>
      <c r="E29" s="57" t="s">
        <v>187</v>
      </c>
      <c r="F29" s="58" t="s">
        <v>188</v>
      </c>
      <c r="G29" s="59" t="s">
        <v>150</v>
      </c>
      <c r="H29" s="60">
        <v>199.71</v>
      </c>
      <c r="I29" s="61">
        <v>98.52</v>
      </c>
      <c r="J29" s="60">
        <v>19675.400000000001</v>
      </c>
      <c r="K29" s="68">
        <f t="shared" si="7"/>
        <v>2.87</v>
      </c>
      <c r="L29" s="69">
        <f t="shared" si="0"/>
        <v>98.52</v>
      </c>
      <c r="M29" s="273">
        <f t="shared" si="1"/>
        <v>282.75240000000002</v>
      </c>
      <c r="N29" s="71">
        <f t="shared" si="2"/>
        <v>202.58</v>
      </c>
      <c r="O29" s="72">
        <f t="shared" si="3"/>
        <v>98.52</v>
      </c>
      <c r="P29" s="274">
        <f t="shared" si="4"/>
        <v>19958.1816</v>
      </c>
      <c r="Q29" s="237">
        <f t="shared" si="5"/>
        <v>205.54</v>
      </c>
    </row>
    <row r="30" spans="2:20" s="121" customFormat="1" ht="23.25" customHeight="1" x14ac:dyDescent="0.2">
      <c r="B30" s="120"/>
      <c r="C30" s="56" t="s">
        <v>144</v>
      </c>
      <c r="D30" s="56" t="s">
        <v>96</v>
      </c>
      <c r="E30" s="57" t="s">
        <v>190</v>
      </c>
      <c r="F30" s="58" t="s">
        <v>191</v>
      </c>
      <c r="G30" s="59" t="s">
        <v>150</v>
      </c>
      <c r="H30" s="60">
        <v>36.270000000000003</v>
      </c>
      <c r="I30" s="61">
        <v>247.39</v>
      </c>
      <c r="J30" s="60">
        <v>8972.7999999999993</v>
      </c>
      <c r="K30" s="68">
        <f t="shared" si="7"/>
        <v>0.52</v>
      </c>
      <c r="L30" s="69">
        <f t="shared" si="0"/>
        <v>247.39</v>
      </c>
      <c r="M30" s="273">
        <f t="shared" si="1"/>
        <v>128.64279999999999</v>
      </c>
      <c r="N30" s="71">
        <f t="shared" si="2"/>
        <v>36.790000000000006</v>
      </c>
      <c r="O30" s="72">
        <f t="shared" si="3"/>
        <v>247.39</v>
      </c>
      <c r="P30" s="274">
        <f t="shared" si="4"/>
        <v>9101.4781000000003</v>
      </c>
      <c r="Q30" s="237">
        <f t="shared" si="5"/>
        <v>37.33</v>
      </c>
      <c r="R30" s="186" t="s">
        <v>937</v>
      </c>
      <c r="S30" s="188" t="s">
        <v>950</v>
      </c>
      <c r="T30" s="190" t="s">
        <v>960</v>
      </c>
    </row>
    <row r="31" spans="2:20" s="121" customFormat="1" ht="23.25" customHeight="1" x14ac:dyDescent="0.2">
      <c r="B31" s="120"/>
      <c r="C31" s="56" t="s">
        <v>147</v>
      </c>
      <c r="D31" s="56" t="s">
        <v>96</v>
      </c>
      <c r="E31" s="57" t="s">
        <v>193</v>
      </c>
      <c r="F31" s="58" t="s">
        <v>194</v>
      </c>
      <c r="G31" s="59" t="s">
        <v>150</v>
      </c>
      <c r="H31" s="60">
        <v>36.270000000000003</v>
      </c>
      <c r="I31" s="61">
        <v>44.72</v>
      </c>
      <c r="J31" s="60">
        <v>1622</v>
      </c>
      <c r="K31" s="68">
        <f t="shared" si="7"/>
        <v>0.52</v>
      </c>
      <c r="L31" s="69">
        <f t="shared" si="0"/>
        <v>44.72</v>
      </c>
      <c r="M31" s="273">
        <f t="shared" si="1"/>
        <v>23.2544</v>
      </c>
      <c r="N31" s="71">
        <f t="shared" si="2"/>
        <v>36.790000000000006</v>
      </c>
      <c r="O31" s="72">
        <f t="shared" si="3"/>
        <v>44.72</v>
      </c>
      <c r="P31" s="274">
        <f t="shared" si="4"/>
        <v>1645.2488000000003</v>
      </c>
      <c r="Q31" s="237">
        <f t="shared" si="5"/>
        <v>37.33</v>
      </c>
      <c r="R31" s="186" t="s">
        <v>937</v>
      </c>
      <c r="S31" s="188" t="s">
        <v>950</v>
      </c>
      <c r="T31" s="190" t="s">
        <v>960</v>
      </c>
    </row>
    <row r="32" spans="2:20" s="121" customFormat="1" ht="19.5" customHeight="1" x14ac:dyDescent="0.2">
      <c r="B32" s="120"/>
      <c r="C32" s="56" t="s">
        <v>151</v>
      </c>
      <c r="D32" s="56" t="s">
        <v>96</v>
      </c>
      <c r="E32" s="57" t="s">
        <v>196</v>
      </c>
      <c r="F32" s="58" t="s">
        <v>197</v>
      </c>
      <c r="G32" s="59" t="s">
        <v>150</v>
      </c>
      <c r="H32" s="60">
        <v>36.270000000000003</v>
      </c>
      <c r="I32" s="61">
        <v>11.84</v>
      </c>
      <c r="J32" s="60">
        <v>429.4</v>
      </c>
      <c r="K32" s="68">
        <f t="shared" si="7"/>
        <v>0.52</v>
      </c>
      <c r="L32" s="69">
        <f t="shared" si="0"/>
        <v>11.84</v>
      </c>
      <c r="M32" s="273">
        <f t="shared" si="1"/>
        <v>6.1568000000000005</v>
      </c>
      <c r="N32" s="71">
        <f t="shared" si="2"/>
        <v>36.790000000000006</v>
      </c>
      <c r="O32" s="72">
        <f t="shared" si="3"/>
        <v>11.84</v>
      </c>
      <c r="P32" s="274">
        <f t="shared" si="4"/>
        <v>435.59360000000009</v>
      </c>
      <c r="Q32" s="237">
        <f t="shared" si="5"/>
        <v>37.33</v>
      </c>
      <c r="R32" s="186" t="s">
        <v>937</v>
      </c>
      <c r="S32" s="188" t="s">
        <v>950</v>
      </c>
      <c r="T32" s="190" t="s">
        <v>960</v>
      </c>
    </row>
    <row r="33" spans="2:18" s="121" customFormat="1" ht="16.5" customHeight="1" x14ac:dyDescent="0.2">
      <c r="B33" s="120"/>
      <c r="C33" s="56" t="s">
        <v>154</v>
      </c>
      <c r="D33" s="56" t="s">
        <v>96</v>
      </c>
      <c r="E33" s="57" t="s">
        <v>199</v>
      </c>
      <c r="F33" s="58" t="s">
        <v>200</v>
      </c>
      <c r="G33" s="59" t="s">
        <v>201</v>
      </c>
      <c r="H33" s="60">
        <v>72.540000000000006</v>
      </c>
      <c r="I33" s="61">
        <v>116</v>
      </c>
      <c r="J33" s="60">
        <v>8414.6</v>
      </c>
      <c r="K33" s="68">
        <f t="shared" si="7"/>
        <v>1.04</v>
      </c>
      <c r="L33" s="69">
        <f t="shared" si="0"/>
        <v>116</v>
      </c>
      <c r="M33" s="273">
        <f t="shared" si="1"/>
        <v>120.64</v>
      </c>
      <c r="N33" s="71">
        <f t="shared" si="2"/>
        <v>73.580000000000013</v>
      </c>
      <c r="O33" s="72">
        <f t="shared" si="3"/>
        <v>116</v>
      </c>
      <c r="P33" s="274">
        <f t="shared" si="4"/>
        <v>8535.2800000000007</v>
      </c>
      <c r="Q33" s="237">
        <f t="shared" si="5"/>
        <v>74.66</v>
      </c>
    </row>
    <row r="34" spans="2:18" s="121" customFormat="1" ht="16.5" customHeight="1" x14ac:dyDescent="0.2">
      <c r="B34" s="120"/>
      <c r="C34" s="56" t="s">
        <v>1</v>
      </c>
      <c r="D34" s="56" t="s">
        <v>96</v>
      </c>
      <c r="E34" s="57" t="s">
        <v>203</v>
      </c>
      <c r="F34" s="58" t="s">
        <v>204</v>
      </c>
      <c r="G34" s="59" t="s">
        <v>150</v>
      </c>
      <c r="H34" s="60">
        <v>81.72</v>
      </c>
      <c r="I34" s="61">
        <v>143.36000000000001</v>
      </c>
      <c r="J34" s="60">
        <v>11715.4</v>
      </c>
      <c r="K34" s="68">
        <f t="shared" si="7"/>
        <v>1.17</v>
      </c>
      <c r="L34" s="69">
        <f t="shared" si="0"/>
        <v>143.36000000000001</v>
      </c>
      <c r="M34" s="273">
        <f t="shared" si="1"/>
        <v>167.7312</v>
      </c>
      <c r="N34" s="71">
        <f t="shared" si="2"/>
        <v>82.89</v>
      </c>
      <c r="O34" s="72">
        <f t="shared" si="3"/>
        <v>143.36000000000001</v>
      </c>
      <c r="P34" s="274">
        <f t="shared" si="4"/>
        <v>11883.110400000001</v>
      </c>
      <c r="Q34" s="237">
        <f t="shared" si="5"/>
        <v>84.11</v>
      </c>
    </row>
    <row r="35" spans="2:18" s="121" customFormat="1" ht="16.5" customHeight="1" x14ac:dyDescent="0.2">
      <c r="B35" s="120"/>
      <c r="C35" s="56" t="s">
        <v>159</v>
      </c>
      <c r="D35" s="56" t="s">
        <v>96</v>
      </c>
      <c r="E35" s="57" t="s">
        <v>206</v>
      </c>
      <c r="F35" s="58" t="s">
        <v>207</v>
      </c>
      <c r="G35" s="59" t="s">
        <v>150</v>
      </c>
      <c r="H35" s="60">
        <v>24.47</v>
      </c>
      <c r="I35" s="61">
        <v>318.27999999999997</v>
      </c>
      <c r="J35" s="60">
        <v>7788.3</v>
      </c>
      <c r="K35" s="68">
        <f t="shared" si="7"/>
        <v>0.35</v>
      </c>
      <c r="L35" s="69">
        <f t="shared" si="0"/>
        <v>318.27999999999997</v>
      </c>
      <c r="M35" s="273">
        <f t="shared" si="1"/>
        <v>111.39799999999998</v>
      </c>
      <c r="N35" s="71">
        <f t="shared" si="2"/>
        <v>24.82</v>
      </c>
      <c r="O35" s="72">
        <f t="shared" si="3"/>
        <v>318.27999999999997</v>
      </c>
      <c r="P35" s="274">
        <f t="shared" si="4"/>
        <v>7899.7095999999992</v>
      </c>
      <c r="Q35" s="237">
        <f t="shared" si="5"/>
        <v>25.18</v>
      </c>
    </row>
    <row r="36" spans="2:18" s="121" customFormat="1" ht="16.5" customHeight="1" x14ac:dyDescent="0.2">
      <c r="B36" s="120"/>
      <c r="C36" s="73" t="s">
        <v>162</v>
      </c>
      <c r="D36" s="73" t="s">
        <v>209</v>
      </c>
      <c r="E36" s="74" t="s">
        <v>210</v>
      </c>
      <c r="F36" s="75" t="s">
        <v>211</v>
      </c>
      <c r="G36" s="76" t="s">
        <v>201</v>
      </c>
      <c r="H36" s="77">
        <v>48.94</v>
      </c>
      <c r="I36" s="78">
        <v>172.71</v>
      </c>
      <c r="J36" s="77">
        <v>8452.4</v>
      </c>
      <c r="K36" s="68">
        <f t="shared" si="7"/>
        <v>0.7</v>
      </c>
      <c r="L36" s="69">
        <f t="shared" si="0"/>
        <v>172.71</v>
      </c>
      <c r="M36" s="273">
        <f t="shared" si="1"/>
        <v>120.89699999999999</v>
      </c>
      <c r="N36" s="71">
        <f t="shared" si="2"/>
        <v>49.64</v>
      </c>
      <c r="O36" s="72">
        <f t="shared" si="3"/>
        <v>172.71</v>
      </c>
      <c r="P36" s="274">
        <f t="shared" si="4"/>
        <v>8573.3244000000013</v>
      </c>
      <c r="Q36" s="237">
        <f t="shared" si="5"/>
        <v>50.37</v>
      </c>
    </row>
    <row r="37" spans="2:18" s="170" customFormat="1" ht="22.9" customHeight="1" x14ac:dyDescent="0.2">
      <c r="B37" s="165"/>
      <c r="C37" s="252"/>
      <c r="D37" s="253" t="s">
        <v>4</v>
      </c>
      <c r="E37" s="254" t="s">
        <v>13</v>
      </c>
      <c r="F37" s="254" t="s">
        <v>222</v>
      </c>
      <c r="G37" s="252"/>
      <c r="H37" s="252"/>
      <c r="I37" s="255"/>
      <c r="J37" s="256">
        <f>+SUBTOTAL(9,J38:J39)</f>
        <v>1648.6</v>
      </c>
      <c r="K37" s="261"/>
      <c r="L37" s="262"/>
      <c r="M37" s="279">
        <f>M38+M39</f>
        <v>23.676000000000002</v>
      </c>
      <c r="N37" s="280"/>
      <c r="O37" s="262"/>
      <c r="P37" s="279">
        <f>P38+P39</f>
        <v>1672.3148000000003</v>
      </c>
      <c r="Q37" s="237"/>
      <c r="R37" s="121"/>
    </row>
    <row r="38" spans="2:18" s="121" customFormat="1" ht="16.5" customHeight="1" x14ac:dyDescent="0.2">
      <c r="B38" s="120"/>
      <c r="C38" s="56" t="s">
        <v>165</v>
      </c>
      <c r="D38" s="56" t="s">
        <v>96</v>
      </c>
      <c r="E38" s="57" t="s">
        <v>224</v>
      </c>
      <c r="F38" s="58" t="s">
        <v>225</v>
      </c>
      <c r="G38" s="59" t="s">
        <v>133</v>
      </c>
      <c r="H38" s="60">
        <v>41.78</v>
      </c>
      <c r="I38" s="61">
        <v>32.880000000000003</v>
      </c>
      <c r="J38" s="60">
        <v>1373.7</v>
      </c>
      <c r="K38" s="68">
        <f t="shared" si="7"/>
        <v>0.6</v>
      </c>
      <c r="L38" s="69">
        <f t="shared" si="0"/>
        <v>32.880000000000003</v>
      </c>
      <c r="M38" s="273">
        <f t="shared" si="1"/>
        <v>19.728000000000002</v>
      </c>
      <c r="N38" s="71">
        <f t="shared" si="2"/>
        <v>42.38</v>
      </c>
      <c r="O38" s="72">
        <f t="shared" si="3"/>
        <v>32.880000000000003</v>
      </c>
      <c r="P38" s="274">
        <f t="shared" si="4"/>
        <v>1393.4544000000003</v>
      </c>
      <c r="Q38" s="237">
        <f t="shared" si="5"/>
        <v>43</v>
      </c>
    </row>
    <row r="39" spans="2:18" s="121" customFormat="1" ht="16.5" customHeight="1" x14ac:dyDescent="0.2">
      <c r="B39" s="120"/>
      <c r="C39" s="56" t="s">
        <v>168</v>
      </c>
      <c r="D39" s="56" t="s">
        <v>96</v>
      </c>
      <c r="E39" s="57" t="s">
        <v>227</v>
      </c>
      <c r="F39" s="58" t="s">
        <v>228</v>
      </c>
      <c r="G39" s="59" t="s">
        <v>133</v>
      </c>
      <c r="H39" s="60">
        <v>41.78</v>
      </c>
      <c r="I39" s="61">
        <v>6.58</v>
      </c>
      <c r="J39" s="60">
        <v>274.89999999999998</v>
      </c>
      <c r="K39" s="68">
        <f t="shared" si="7"/>
        <v>0.6</v>
      </c>
      <c r="L39" s="69">
        <f t="shared" si="0"/>
        <v>6.58</v>
      </c>
      <c r="M39" s="273">
        <f t="shared" si="1"/>
        <v>3.948</v>
      </c>
      <c r="N39" s="71">
        <f t="shared" si="2"/>
        <v>42.38</v>
      </c>
      <c r="O39" s="72">
        <f t="shared" si="3"/>
        <v>6.58</v>
      </c>
      <c r="P39" s="274">
        <f t="shared" si="4"/>
        <v>278.86040000000003</v>
      </c>
      <c r="Q39" s="237">
        <f t="shared" si="5"/>
        <v>43</v>
      </c>
    </row>
    <row r="40" spans="2:18" s="170" customFormat="1" ht="22.9" customHeight="1" x14ac:dyDescent="0.2">
      <c r="B40" s="165"/>
      <c r="C40" s="252"/>
      <c r="D40" s="253" t="s">
        <v>4</v>
      </c>
      <c r="E40" s="254" t="s">
        <v>100</v>
      </c>
      <c r="F40" s="254" t="s">
        <v>229</v>
      </c>
      <c r="G40" s="252"/>
      <c r="H40" s="252"/>
      <c r="I40" s="255"/>
      <c r="J40" s="256">
        <f>+SUBTOTAL(9,J41:J42)</f>
        <v>19087</v>
      </c>
      <c r="K40" s="261"/>
      <c r="L40" s="262"/>
      <c r="M40" s="279">
        <f>M41+M42</f>
        <v>291.01409999999998</v>
      </c>
      <c r="N40" s="280"/>
      <c r="O40" s="262"/>
      <c r="P40" s="279">
        <f>P41+P42</f>
        <v>19378.074000000001</v>
      </c>
      <c r="Q40" s="237"/>
      <c r="R40" s="121"/>
    </row>
    <row r="41" spans="2:18" s="121" customFormat="1" ht="16.5" customHeight="1" x14ac:dyDescent="0.2">
      <c r="B41" s="120"/>
      <c r="C41" s="56" t="s">
        <v>171</v>
      </c>
      <c r="D41" s="56" t="s">
        <v>96</v>
      </c>
      <c r="E41" s="57" t="s">
        <v>252</v>
      </c>
      <c r="F41" s="58" t="s">
        <v>253</v>
      </c>
      <c r="G41" s="59" t="s">
        <v>150</v>
      </c>
      <c r="H41" s="60">
        <v>5.43</v>
      </c>
      <c r="I41" s="61">
        <v>3239.16</v>
      </c>
      <c r="J41" s="60">
        <v>17588.599999999999</v>
      </c>
      <c r="K41" s="68">
        <f t="shared" si="7"/>
        <v>0.08</v>
      </c>
      <c r="L41" s="69">
        <f t="shared" si="0"/>
        <v>3239.16</v>
      </c>
      <c r="M41" s="273">
        <f t="shared" si="1"/>
        <v>259.13279999999997</v>
      </c>
      <c r="N41" s="71">
        <f t="shared" si="2"/>
        <v>5.51</v>
      </c>
      <c r="O41" s="72">
        <f t="shared" si="3"/>
        <v>3239.16</v>
      </c>
      <c r="P41" s="274">
        <f t="shared" si="4"/>
        <v>17847.7716</v>
      </c>
      <c r="Q41" s="237">
        <f t="shared" si="5"/>
        <v>5.59</v>
      </c>
    </row>
    <row r="42" spans="2:18" s="121" customFormat="1" ht="16.5" customHeight="1" x14ac:dyDescent="0.2">
      <c r="B42" s="120"/>
      <c r="C42" s="56" t="s">
        <v>174</v>
      </c>
      <c r="D42" s="56" t="s">
        <v>96</v>
      </c>
      <c r="E42" s="57" t="s">
        <v>255</v>
      </c>
      <c r="F42" s="58" t="s">
        <v>256</v>
      </c>
      <c r="G42" s="59" t="s">
        <v>150</v>
      </c>
      <c r="H42" s="60">
        <v>0.47</v>
      </c>
      <c r="I42" s="61">
        <v>3188.13</v>
      </c>
      <c r="J42" s="60">
        <v>1498.4</v>
      </c>
      <c r="K42" s="68">
        <f t="shared" si="7"/>
        <v>0.01</v>
      </c>
      <c r="L42" s="69">
        <f t="shared" si="0"/>
        <v>3188.13</v>
      </c>
      <c r="M42" s="273">
        <f t="shared" si="1"/>
        <v>31.881300000000003</v>
      </c>
      <c r="N42" s="71">
        <f t="shared" si="2"/>
        <v>0.48</v>
      </c>
      <c r="O42" s="72">
        <f t="shared" si="3"/>
        <v>3188.13</v>
      </c>
      <c r="P42" s="274">
        <f t="shared" si="4"/>
        <v>1530.3024</v>
      </c>
      <c r="Q42" s="237">
        <f t="shared" si="5"/>
        <v>0.48</v>
      </c>
    </row>
    <row r="43" spans="2:18" s="170" customFormat="1" ht="22.9" customHeight="1" x14ac:dyDescent="0.2">
      <c r="B43" s="165"/>
      <c r="C43" s="252"/>
      <c r="D43" s="253" t="s">
        <v>4</v>
      </c>
      <c r="E43" s="254" t="s">
        <v>105</v>
      </c>
      <c r="F43" s="254" t="s">
        <v>257</v>
      </c>
      <c r="G43" s="252"/>
      <c r="H43" s="252"/>
      <c r="I43" s="255"/>
      <c r="J43" s="256">
        <f>+SUBTOTAL(9,J44:J48)</f>
        <v>79130.5</v>
      </c>
      <c r="K43" s="261"/>
      <c r="L43" s="262"/>
      <c r="M43" s="279">
        <f>SUM(M44:M48)</f>
        <v>0</v>
      </c>
      <c r="N43" s="280"/>
      <c r="O43" s="262"/>
      <c r="P43" s="279">
        <f>SUM(P44:P48)</f>
        <v>79130.578000000009</v>
      </c>
      <c r="Q43" s="237"/>
      <c r="R43" s="121"/>
    </row>
    <row r="44" spans="2:18" s="121" customFormat="1" ht="16.5" customHeight="1" x14ac:dyDescent="0.2">
      <c r="B44" s="120"/>
      <c r="C44" s="56" t="s">
        <v>177</v>
      </c>
      <c r="D44" s="56" t="s">
        <v>96</v>
      </c>
      <c r="E44" s="57" t="s">
        <v>262</v>
      </c>
      <c r="F44" s="58" t="s">
        <v>263</v>
      </c>
      <c r="G44" s="59" t="s">
        <v>108</v>
      </c>
      <c r="H44" s="60">
        <v>47.3</v>
      </c>
      <c r="I44" s="61">
        <v>302.54000000000002</v>
      </c>
      <c r="J44" s="60">
        <v>14310.1</v>
      </c>
      <c r="K44" s="68">
        <v>0</v>
      </c>
      <c r="L44" s="69">
        <f t="shared" si="0"/>
        <v>302.54000000000002</v>
      </c>
      <c r="M44" s="273">
        <f t="shared" si="1"/>
        <v>0</v>
      </c>
      <c r="N44" s="71">
        <f t="shared" si="2"/>
        <v>47.3</v>
      </c>
      <c r="O44" s="72">
        <f t="shared" si="3"/>
        <v>302.54000000000002</v>
      </c>
      <c r="P44" s="274">
        <f t="shared" si="4"/>
        <v>14310.142</v>
      </c>
      <c r="Q44" s="237">
        <f t="shared" si="5"/>
        <v>48.68</v>
      </c>
    </row>
    <row r="45" spans="2:18" s="121" customFormat="1" ht="16.5" customHeight="1" x14ac:dyDescent="0.2">
      <c r="B45" s="120"/>
      <c r="C45" s="56" t="s">
        <v>180</v>
      </c>
      <c r="D45" s="56" t="s">
        <v>96</v>
      </c>
      <c r="E45" s="57" t="s">
        <v>268</v>
      </c>
      <c r="F45" s="58" t="s">
        <v>269</v>
      </c>
      <c r="G45" s="59" t="s">
        <v>108</v>
      </c>
      <c r="H45" s="60">
        <v>47.3</v>
      </c>
      <c r="I45" s="61">
        <v>14.18</v>
      </c>
      <c r="J45" s="60">
        <v>670.7</v>
      </c>
      <c r="K45" s="68">
        <v>0</v>
      </c>
      <c r="L45" s="69">
        <f t="shared" si="0"/>
        <v>14.18</v>
      </c>
      <c r="M45" s="273">
        <f t="shared" si="1"/>
        <v>0</v>
      </c>
      <c r="N45" s="71">
        <f t="shared" si="2"/>
        <v>47.3</v>
      </c>
      <c r="O45" s="72">
        <f t="shared" si="3"/>
        <v>14.18</v>
      </c>
      <c r="P45" s="274">
        <f t="shared" si="4"/>
        <v>670.71399999999994</v>
      </c>
      <c r="Q45" s="237">
        <f t="shared" si="5"/>
        <v>48.68</v>
      </c>
    </row>
    <row r="46" spans="2:18" s="121" customFormat="1" ht="16.5" customHeight="1" x14ac:dyDescent="0.2">
      <c r="B46" s="120"/>
      <c r="C46" s="56" t="s">
        <v>183</v>
      </c>
      <c r="D46" s="56" t="s">
        <v>96</v>
      </c>
      <c r="E46" s="57" t="s">
        <v>271</v>
      </c>
      <c r="F46" s="58" t="s">
        <v>272</v>
      </c>
      <c r="G46" s="59" t="s">
        <v>108</v>
      </c>
      <c r="H46" s="60">
        <v>90.3</v>
      </c>
      <c r="I46" s="61">
        <v>20.62</v>
      </c>
      <c r="J46" s="60">
        <v>1862</v>
      </c>
      <c r="K46" s="68">
        <v>0</v>
      </c>
      <c r="L46" s="69">
        <f t="shared" si="0"/>
        <v>20.62</v>
      </c>
      <c r="M46" s="273">
        <f t="shared" si="1"/>
        <v>0</v>
      </c>
      <c r="N46" s="71">
        <f t="shared" si="2"/>
        <v>90.3</v>
      </c>
      <c r="O46" s="72">
        <f t="shared" si="3"/>
        <v>20.62</v>
      </c>
      <c r="P46" s="274">
        <f t="shared" si="4"/>
        <v>1861.9860000000001</v>
      </c>
      <c r="Q46" s="237">
        <f t="shared" si="5"/>
        <v>92.94</v>
      </c>
    </row>
    <row r="47" spans="2:18" s="121" customFormat="1" ht="16.5" customHeight="1" x14ac:dyDescent="0.2">
      <c r="B47" s="120"/>
      <c r="C47" s="56" t="s">
        <v>186</v>
      </c>
      <c r="D47" s="56" t="s">
        <v>96</v>
      </c>
      <c r="E47" s="57" t="s">
        <v>274</v>
      </c>
      <c r="F47" s="58" t="s">
        <v>275</v>
      </c>
      <c r="G47" s="59" t="s">
        <v>108</v>
      </c>
      <c r="H47" s="60">
        <v>90.3</v>
      </c>
      <c r="I47" s="61">
        <v>396.71</v>
      </c>
      <c r="J47" s="60">
        <v>35822.9</v>
      </c>
      <c r="K47" s="68">
        <v>0</v>
      </c>
      <c r="L47" s="69">
        <f t="shared" si="0"/>
        <v>396.71</v>
      </c>
      <c r="M47" s="273">
        <f t="shared" si="1"/>
        <v>0</v>
      </c>
      <c r="N47" s="71">
        <f t="shared" si="2"/>
        <v>90.3</v>
      </c>
      <c r="O47" s="72">
        <f t="shared" si="3"/>
        <v>396.71</v>
      </c>
      <c r="P47" s="274">
        <f t="shared" si="4"/>
        <v>35822.913</v>
      </c>
      <c r="Q47" s="237">
        <f t="shared" si="5"/>
        <v>92.94</v>
      </c>
    </row>
    <row r="48" spans="2:18" s="121" customFormat="1" ht="16.5" customHeight="1" x14ac:dyDescent="0.2">
      <c r="B48" s="120"/>
      <c r="C48" s="56" t="s">
        <v>189</v>
      </c>
      <c r="D48" s="56" t="s">
        <v>96</v>
      </c>
      <c r="E48" s="57" t="s">
        <v>277</v>
      </c>
      <c r="F48" s="58" t="s">
        <v>278</v>
      </c>
      <c r="G48" s="59" t="s">
        <v>108</v>
      </c>
      <c r="H48" s="60">
        <v>47.3</v>
      </c>
      <c r="I48" s="61">
        <v>559.51</v>
      </c>
      <c r="J48" s="60">
        <v>26464.799999999999</v>
      </c>
      <c r="K48" s="68">
        <v>0</v>
      </c>
      <c r="L48" s="69">
        <f t="shared" si="0"/>
        <v>559.51</v>
      </c>
      <c r="M48" s="273">
        <f t="shared" si="1"/>
        <v>0</v>
      </c>
      <c r="N48" s="71">
        <f t="shared" si="2"/>
        <v>47.3</v>
      </c>
      <c r="O48" s="72">
        <f t="shared" si="3"/>
        <v>559.51</v>
      </c>
      <c r="P48" s="274">
        <f t="shared" si="4"/>
        <v>26464.822999999997</v>
      </c>
      <c r="Q48" s="237">
        <f t="shared" si="5"/>
        <v>48.68</v>
      </c>
    </row>
    <row r="49" spans="2:18" s="170" customFormat="1" ht="22.9" customHeight="1" x14ac:dyDescent="0.2">
      <c r="B49" s="165"/>
      <c r="C49" s="252"/>
      <c r="D49" s="253" t="s">
        <v>4</v>
      </c>
      <c r="E49" s="254" t="s">
        <v>115</v>
      </c>
      <c r="F49" s="254" t="s">
        <v>288</v>
      </c>
      <c r="G49" s="252"/>
      <c r="H49" s="252"/>
      <c r="I49" s="255"/>
      <c r="J49" s="256">
        <f>+SUBTOTAL(9,J50:J68)</f>
        <v>106932</v>
      </c>
      <c r="K49" s="261"/>
      <c r="L49" s="262"/>
      <c r="M49" s="279">
        <f>SUM(M50:M68)</f>
        <v>1013.8019999999998</v>
      </c>
      <c r="N49" s="280"/>
      <c r="O49" s="262"/>
      <c r="P49" s="279">
        <f>SUM(P50:P68)</f>
        <v>107945.84699999999</v>
      </c>
      <c r="Q49" s="237"/>
      <c r="R49" s="121"/>
    </row>
    <row r="50" spans="2:18" s="121" customFormat="1" ht="16.5" customHeight="1" x14ac:dyDescent="0.2">
      <c r="B50" s="120"/>
      <c r="C50" s="56" t="s">
        <v>192</v>
      </c>
      <c r="D50" s="56" t="s">
        <v>96</v>
      </c>
      <c r="E50" s="57" t="s">
        <v>296</v>
      </c>
      <c r="F50" s="58" t="s">
        <v>297</v>
      </c>
      <c r="G50" s="59" t="s">
        <v>133</v>
      </c>
      <c r="H50" s="60">
        <v>41.78</v>
      </c>
      <c r="I50" s="61">
        <v>552.39</v>
      </c>
      <c r="J50" s="60">
        <v>23078.9</v>
      </c>
      <c r="K50" s="68">
        <f t="shared" ref="K50:K51" si="8">ROUND(43.6/43*Q50-Q50,2)</f>
        <v>0.6</v>
      </c>
      <c r="L50" s="69">
        <f t="shared" si="0"/>
        <v>552.39</v>
      </c>
      <c r="M50" s="273">
        <f t="shared" si="1"/>
        <v>331.43399999999997</v>
      </c>
      <c r="N50" s="71">
        <f t="shared" si="2"/>
        <v>42.38</v>
      </c>
      <c r="O50" s="72">
        <f t="shared" si="3"/>
        <v>552.39</v>
      </c>
      <c r="P50" s="274">
        <f t="shared" si="4"/>
        <v>23410.288199999999</v>
      </c>
      <c r="Q50" s="237">
        <f t="shared" si="5"/>
        <v>43</v>
      </c>
    </row>
    <row r="51" spans="2:18" s="121" customFormat="1" ht="16.5" customHeight="1" x14ac:dyDescent="0.2">
      <c r="B51" s="120"/>
      <c r="C51" s="73" t="s">
        <v>195</v>
      </c>
      <c r="D51" s="73" t="s">
        <v>209</v>
      </c>
      <c r="E51" s="74" t="s">
        <v>299</v>
      </c>
      <c r="F51" s="75" t="s">
        <v>300</v>
      </c>
      <c r="G51" s="76" t="s">
        <v>133</v>
      </c>
      <c r="H51" s="77">
        <v>41.78</v>
      </c>
      <c r="I51" s="78">
        <v>1060.07</v>
      </c>
      <c r="J51" s="77">
        <v>44289.7</v>
      </c>
      <c r="K51" s="68">
        <f t="shared" si="8"/>
        <v>0.6</v>
      </c>
      <c r="L51" s="69">
        <f t="shared" si="0"/>
        <v>1060.07</v>
      </c>
      <c r="M51" s="273">
        <f t="shared" si="1"/>
        <v>636.04199999999992</v>
      </c>
      <c r="N51" s="71">
        <f t="shared" si="2"/>
        <v>42.38</v>
      </c>
      <c r="O51" s="72">
        <f t="shared" si="3"/>
        <v>1060.07</v>
      </c>
      <c r="P51" s="274">
        <f t="shared" si="4"/>
        <v>44925.766600000003</v>
      </c>
      <c r="Q51" s="237">
        <f t="shared" si="5"/>
        <v>43</v>
      </c>
    </row>
    <row r="52" spans="2:18" s="121" customFormat="1" ht="16.5" customHeight="1" x14ac:dyDescent="0.2">
      <c r="B52" s="120"/>
      <c r="C52" s="73" t="s">
        <v>198</v>
      </c>
      <c r="D52" s="73" t="s">
        <v>209</v>
      </c>
      <c r="E52" s="74" t="s">
        <v>302</v>
      </c>
      <c r="F52" s="75" t="s">
        <v>303</v>
      </c>
      <c r="G52" s="76" t="s">
        <v>99</v>
      </c>
      <c r="H52" s="77">
        <v>2</v>
      </c>
      <c r="I52" s="78">
        <v>739.15</v>
      </c>
      <c r="J52" s="77">
        <v>1478.3</v>
      </c>
      <c r="K52" s="68">
        <v>0</v>
      </c>
      <c r="L52" s="69">
        <f t="shared" si="0"/>
        <v>739.15</v>
      </c>
      <c r="M52" s="273">
        <f t="shared" si="1"/>
        <v>0</v>
      </c>
      <c r="N52" s="71">
        <f t="shared" si="2"/>
        <v>2</v>
      </c>
      <c r="O52" s="72">
        <f t="shared" si="3"/>
        <v>739.15</v>
      </c>
      <c r="P52" s="274">
        <f t="shared" si="4"/>
        <v>1478.3</v>
      </c>
      <c r="Q52" s="237">
        <f t="shared" si="5"/>
        <v>2.06</v>
      </c>
    </row>
    <row r="53" spans="2:18" s="121" customFormat="1" ht="16.5" customHeight="1" x14ac:dyDescent="0.2">
      <c r="B53" s="120"/>
      <c r="C53" s="56" t="s">
        <v>202</v>
      </c>
      <c r="D53" s="56" t="s">
        <v>96</v>
      </c>
      <c r="E53" s="57" t="s">
        <v>320</v>
      </c>
      <c r="F53" s="58" t="s">
        <v>321</v>
      </c>
      <c r="G53" s="59" t="s">
        <v>99</v>
      </c>
      <c r="H53" s="60">
        <v>1</v>
      </c>
      <c r="I53" s="61">
        <v>260.41000000000003</v>
      </c>
      <c r="J53" s="60">
        <v>260.39999999999998</v>
      </c>
      <c r="K53" s="68">
        <v>0</v>
      </c>
      <c r="L53" s="69">
        <f t="shared" si="0"/>
        <v>260.41000000000003</v>
      </c>
      <c r="M53" s="273">
        <f t="shared" si="1"/>
        <v>0</v>
      </c>
      <c r="N53" s="71">
        <f t="shared" si="2"/>
        <v>1</v>
      </c>
      <c r="O53" s="72">
        <f t="shared" si="3"/>
        <v>260.41000000000003</v>
      </c>
      <c r="P53" s="274">
        <f t="shared" si="4"/>
        <v>260.41000000000003</v>
      </c>
      <c r="Q53" s="237">
        <f t="shared" si="5"/>
        <v>1.03</v>
      </c>
    </row>
    <row r="54" spans="2:18" s="121" customFormat="1" ht="16.5" customHeight="1" x14ac:dyDescent="0.2">
      <c r="B54" s="120"/>
      <c r="C54" s="73" t="s">
        <v>205</v>
      </c>
      <c r="D54" s="73" t="s">
        <v>209</v>
      </c>
      <c r="E54" s="74" t="s">
        <v>326</v>
      </c>
      <c r="F54" s="75" t="s">
        <v>327</v>
      </c>
      <c r="G54" s="76" t="s">
        <v>99</v>
      </c>
      <c r="H54" s="77">
        <v>1.02</v>
      </c>
      <c r="I54" s="78">
        <v>1801.85</v>
      </c>
      <c r="J54" s="77">
        <v>1837.9</v>
      </c>
      <c r="K54" s="68">
        <v>0</v>
      </c>
      <c r="L54" s="69">
        <f t="shared" si="0"/>
        <v>1801.85</v>
      </c>
      <c r="M54" s="273">
        <f t="shared" si="1"/>
        <v>0</v>
      </c>
      <c r="N54" s="71">
        <f t="shared" si="2"/>
        <v>1.02</v>
      </c>
      <c r="O54" s="72">
        <f t="shared" si="3"/>
        <v>1801.85</v>
      </c>
      <c r="P54" s="274">
        <f t="shared" si="4"/>
        <v>1837.8869999999999</v>
      </c>
      <c r="Q54" s="237">
        <f t="shared" si="5"/>
        <v>1.05</v>
      </c>
    </row>
    <row r="55" spans="2:18" s="121" customFormat="1" ht="16.5" customHeight="1" x14ac:dyDescent="0.2">
      <c r="B55" s="120"/>
      <c r="C55" s="56" t="s">
        <v>208</v>
      </c>
      <c r="D55" s="56" t="s">
        <v>96</v>
      </c>
      <c r="E55" s="57" t="s">
        <v>329</v>
      </c>
      <c r="F55" s="58" t="s">
        <v>330</v>
      </c>
      <c r="G55" s="59" t="s">
        <v>99</v>
      </c>
      <c r="H55" s="60">
        <v>1</v>
      </c>
      <c r="I55" s="61">
        <v>219.64</v>
      </c>
      <c r="J55" s="60">
        <v>219.6</v>
      </c>
      <c r="K55" s="68">
        <v>0</v>
      </c>
      <c r="L55" s="69">
        <f t="shared" si="0"/>
        <v>219.64</v>
      </c>
      <c r="M55" s="273">
        <f t="shared" si="1"/>
        <v>0</v>
      </c>
      <c r="N55" s="71">
        <f t="shared" si="2"/>
        <v>1</v>
      </c>
      <c r="O55" s="72">
        <f t="shared" si="3"/>
        <v>219.64</v>
      </c>
      <c r="P55" s="274">
        <f t="shared" si="4"/>
        <v>219.64</v>
      </c>
      <c r="Q55" s="237">
        <f t="shared" si="5"/>
        <v>1.03</v>
      </c>
    </row>
    <row r="56" spans="2:18" s="121" customFormat="1" ht="16.5" customHeight="1" x14ac:dyDescent="0.2">
      <c r="B56" s="120"/>
      <c r="C56" s="73" t="s">
        <v>212</v>
      </c>
      <c r="D56" s="73" t="s">
        <v>209</v>
      </c>
      <c r="E56" s="74" t="s">
        <v>335</v>
      </c>
      <c r="F56" s="75" t="s">
        <v>336</v>
      </c>
      <c r="G56" s="76" t="s">
        <v>99</v>
      </c>
      <c r="H56" s="77">
        <v>1.02</v>
      </c>
      <c r="I56" s="78">
        <v>1129.77</v>
      </c>
      <c r="J56" s="77">
        <v>1152.4000000000001</v>
      </c>
      <c r="K56" s="68">
        <v>0</v>
      </c>
      <c r="L56" s="69">
        <f t="shared" si="0"/>
        <v>1129.77</v>
      </c>
      <c r="M56" s="273">
        <f t="shared" si="1"/>
        <v>0</v>
      </c>
      <c r="N56" s="71">
        <f t="shared" si="2"/>
        <v>1.02</v>
      </c>
      <c r="O56" s="72">
        <f t="shared" si="3"/>
        <v>1129.77</v>
      </c>
      <c r="P56" s="274">
        <f t="shared" si="4"/>
        <v>1152.3653999999999</v>
      </c>
      <c r="Q56" s="237">
        <f t="shared" si="5"/>
        <v>1.05</v>
      </c>
    </row>
    <row r="57" spans="2:18" s="121" customFormat="1" ht="33.75" customHeight="1" x14ac:dyDescent="0.2">
      <c r="B57" s="120"/>
      <c r="C57" s="56" t="s">
        <v>215</v>
      </c>
      <c r="D57" s="56" t="s">
        <v>96</v>
      </c>
      <c r="E57" s="57" t="s">
        <v>347</v>
      </c>
      <c r="F57" s="58" t="s">
        <v>348</v>
      </c>
      <c r="G57" s="59" t="s">
        <v>133</v>
      </c>
      <c r="H57" s="60">
        <v>41.78</v>
      </c>
      <c r="I57" s="61">
        <v>68</v>
      </c>
      <c r="J57" s="60">
        <v>2841</v>
      </c>
      <c r="K57" s="68">
        <f t="shared" ref="K57" si="9">ROUND(43.6/43*Q57-Q57,2)</f>
        <v>0.6</v>
      </c>
      <c r="L57" s="69">
        <f t="shared" si="0"/>
        <v>68</v>
      </c>
      <c r="M57" s="273">
        <f t="shared" si="1"/>
        <v>40.799999999999997</v>
      </c>
      <c r="N57" s="71">
        <f t="shared" si="2"/>
        <v>42.38</v>
      </c>
      <c r="O57" s="72">
        <f t="shared" si="3"/>
        <v>68</v>
      </c>
      <c r="P57" s="274">
        <f t="shared" si="4"/>
        <v>2881.84</v>
      </c>
      <c r="Q57" s="237">
        <f t="shared" si="5"/>
        <v>43</v>
      </c>
    </row>
    <row r="58" spans="2:18" s="121" customFormat="1" ht="16.5" customHeight="1" x14ac:dyDescent="0.2">
      <c r="B58" s="120"/>
      <c r="C58" s="56" t="s">
        <v>219</v>
      </c>
      <c r="D58" s="56" t="s">
        <v>96</v>
      </c>
      <c r="E58" s="57" t="s">
        <v>350</v>
      </c>
      <c r="F58" s="58" t="s">
        <v>351</v>
      </c>
      <c r="G58" s="59" t="s">
        <v>99</v>
      </c>
      <c r="H58" s="60">
        <v>2</v>
      </c>
      <c r="I58" s="61">
        <v>808.86</v>
      </c>
      <c r="J58" s="60">
        <v>1617.7</v>
      </c>
      <c r="K58" s="68">
        <v>0</v>
      </c>
      <c r="L58" s="69">
        <f t="shared" si="0"/>
        <v>808.86</v>
      </c>
      <c r="M58" s="273">
        <f t="shared" si="1"/>
        <v>0</v>
      </c>
      <c r="N58" s="71">
        <f t="shared" si="2"/>
        <v>2</v>
      </c>
      <c r="O58" s="72">
        <f t="shared" si="3"/>
        <v>808.86</v>
      </c>
      <c r="P58" s="274">
        <f t="shared" si="4"/>
        <v>1617.72</v>
      </c>
      <c r="Q58" s="237">
        <f t="shared" si="5"/>
        <v>2.06</v>
      </c>
    </row>
    <row r="59" spans="2:18" s="121" customFormat="1" ht="16.5" customHeight="1" x14ac:dyDescent="0.2">
      <c r="B59" s="120"/>
      <c r="C59" s="73" t="s">
        <v>223</v>
      </c>
      <c r="D59" s="73" t="s">
        <v>209</v>
      </c>
      <c r="E59" s="74" t="s">
        <v>356</v>
      </c>
      <c r="F59" s="75" t="s">
        <v>357</v>
      </c>
      <c r="G59" s="76" t="s">
        <v>99</v>
      </c>
      <c r="H59" s="77">
        <v>1</v>
      </c>
      <c r="I59" s="78">
        <v>1202.1099999999999</v>
      </c>
      <c r="J59" s="77">
        <v>1202.0999999999999</v>
      </c>
      <c r="K59" s="68">
        <v>0</v>
      </c>
      <c r="L59" s="69">
        <f t="shared" si="0"/>
        <v>1202.1099999999999</v>
      </c>
      <c r="M59" s="273">
        <f t="shared" si="1"/>
        <v>0</v>
      </c>
      <c r="N59" s="71">
        <f t="shared" si="2"/>
        <v>1</v>
      </c>
      <c r="O59" s="72">
        <f t="shared" si="3"/>
        <v>1202.1099999999999</v>
      </c>
      <c r="P59" s="274">
        <f t="shared" si="4"/>
        <v>1202.1099999999999</v>
      </c>
      <c r="Q59" s="237">
        <f t="shared" si="5"/>
        <v>1.03</v>
      </c>
    </row>
    <row r="60" spans="2:18" s="121" customFormat="1" ht="16.5" customHeight="1" x14ac:dyDescent="0.2">
      <c r="B60" s="120"/>
      <c r="C60" s="73" t="s">
        <v>226</v>
      </c>
      <c r="D60" s="73" t="s">
        <v>209</v>
      </c>
      <c r="E60" s="74" t="s">
        <v>359</v>
      </c>
      <c r="F60" s="75" t="s">
        <v>360</v>
      </c>
      <c r="G60" s="76" t="s">
        <v>99</v>
      </c>
      <c r="H60" s="77">
        <v>1</v>
      </c>
      <c r="I60" s="78">
        <v>775.98</v>
      </c>
      <c r="J60" s="77">
        <v>776</v>
      </c>
      <c r="K60" s="68">
        <v>0</v>
      </c>
      <c r="L60" s="69">
        <f t="shared" si="0"/>
        <v>775.98</v>
      </c>
      <c r="M60" s="273">
        <f t="shared" si="1"/>
        <v>0</v>
      </c>
      <c r="N60" s="71">
        <f t="shared" si="2"/>
        <v>1</v>
      </c>
      <c r="O60" s="72">
        <f t="shared" si="3"/>
        <v>775.98</v>
      </c>
      <c r="P60" s="274">
        <f t="shared" si="4"/>
        <v>775.98</v>
      </c>
      <c r="Q60" s="237">
        <f t="shared" si="5"/>
        <v>1.03</v>
      </c>
    </row>
    <row r="61" spans="2:18" s="121" customFormat="1" ht="16.5" customHeight="1" x14ac:dyDescent="0.2">
      <c r="B61" s="120"/>
      <c r="C61" s="73" t="s">
        <v>230</v>
      </c>
      <c r="D61" s="73" t="s">
        <v>209</v>
      </c>
      <c r="E61" s="74" t="s">
        <v>362</v>
      </c>
      <c r="F61" s="75" t="s">
        <v>363</v>
      </c>
      <c r="G61" s="76" t="s">
        <v>99</v>
      </c>
      <c r="H61" s="77">
        <v>3</v>
      </c>
      <c r="I61" s="78">
        <v>211.75</v>
      </c>
      <c r="J61" s="77">
        <v>635.29999999999995</v>
      </c>
      <c r="K61" s="68">
        <v>0</v>
      </c>
      <c r="L61" s="69">
        <f t="shared" si="0"/>
        <v>211.75</v>
      </c>
      <c r="M61" s="273">
        <f t="shared" si="1"/>
        <v>0</v>
      </c>
      <c r="N61" s="71">
        <f t="shared" si="2"/>
        <v>3</v>
      </c>
      <c r="O61" s="72">
        <f t="shared" si="3"/>
        <v>211.75</v>
      </c>
      <c r="P61" s="274">
        <f t="shared" si="4"/>
        <v>635.25</v>
      </c>
      <c r="Q61" s="237">
        <f t="shared" si="5"/>
        <v>3.09</v>
      </c>
    </row>
    <row r="62" spans="2:18" s="121" customFormat="1" ht="16.5" customHeight="1" x14ac:dyDescent="0.2">
      <c r="B62" s="120"/>
      <c r="C62" s="56" t="s">
        <v>233</v>
      </c>
      <c r="D62" s="56" t="s">
        <v>96</v>
      </c>
      <c r="E62" s="57" t="s">
        <v>365</v>
      </c>
      <c r="F62" s="58" t="s">
        <v>366</v>
      </c>
      <c r="G62" s="59" t="s">
        <v>99</v>
      </c>
      <c r="H62" s="60">
        <v>1</v>
      </c>
      <c r="I62" s="61">
        <v>808.86</v>
      </c>
      <c r="J62" s="60">
        <v>808.9</v>
      </c>
      <c r="K62" s="68">
        <v>0</v>
      </c>
      <c r="L62" s="69">
        <f t="shared" si="0"/>
        <v>808.86</v>
      </c>
      <c r="M62" s="273">
        <f t="shared" si="1"/>
        <v>0</v>
      </c>
      <c r="N62" s="71">
        <f t="shared" si="2"/>
        <v>1</v>
      </c>
      <c r="O62" s="72">
        <f t="shared" si="3"/>
        <v>808.86</v>
      </c>
      <c r="P62" s="274">
        <f t="shared" si="4"/>
        <v>808.86</v>
      </c>
      <c r="Q62" s="237">
        <f t="shared" si="5"/>
        <v>1.03</v>
      </c>
    </row>
    <row r="63" spans="2:18" s="121" customFormat="1" ht="16.5" customHeight="1" x14ac:dyDescent="0.2">
      <c r="B63" s="120"/>
      <c r="C63" s="73" t="s">
        <v>236</v>
      </c>
      <c r="D63" s="73" t="s">
        <v>209</v>
      </c>
      <c r="E63" s="74" t="s">
        <v>368</v>
      </c>
      <c r="F63" s="75" t="s">
        <v>369</v>
      </c>
      <c r="G63" s="76" t="s">
        <v>99</v>
      </c>
      <c r="H63" s="77">
        <v>1</v>
      </c>
      <c r="I63" s="78">
        <v>1530.92</v>
      </c>
      <c r="J63" s="77">
        <v>1530.9</v>
      </c>
      <c r="K63" s="68">
        <v>0</v>
      </c>
      <c r="L63" s="69">
        <f t="shared" si="0"/>
        <v>1530.92</v>
      </c>
      <c r="M63" s="273">
        <f t="shared" si="1"/>
        <v>0</v>
      </c>
      <c r="N63" s="71">
        <f t="shared" si="2"/>
        <v>1</v>
      </c>
      <c r="O63" s="72">
        <f t="shared" si="3"/>
        <v>1530.92</v>
      </c>
      <c r="P63" s="274">
        <f t="shared" si="4"/>
        <v>1530.92</v>
      </c>
      <c r="Q63" s="237">
        <f t="shared" si="5"/>
        <v>1.03</v>
      </c>
    </row>
    <row r="64" spans="2:18" s="121" customFormat="1" ht="16.5" customHeight="1" x14ac:dyDescent="0.2">
      <c r="B64" s="120"/>
      <c r="C64" s="56" t="s">
        <v>239</v>
      </c>
      <c r="D64" s="56" t="s">
        <v>96</v>
      </c>
      <c r="E64" s="57" t="s">
        <v>371</v>
      </c>
      <c r="F64" s="58" t="s">
        <v>372</v>
      </c>
      <c r="G64" s="59" t="s">
        <v>99</v>
      </c>
      <c r="H64" s="60">
        <v>1</v>
      </c>
      <c r="I64" s="61">
        <v>3234.12</v>
      </c>
      <c r="J64" s="60">
        <v>3234.1</v>
      </c>
      <c r="K64" s="68">
        <v>0</v>
      </c>
      <c r="L64" s="69">
        <f t="shared" si="0"/>
        <v>3234.12</v>
      </c>
      <c r="M64" s="273">
        <f t="shared" si="1"/>
        <v>0</v>
      </c>
      <c r="N64" s="71">
        <f t="shared" si="2"/>
        <v>1</v>
      </c>
      <c r="O64" s="72">
        <f t="shared" si="3"/>
        <v>3234.12</v>
      </c>
      <c r="P64" s="274">
        <f t="shared" si="4"/>
        <v>3234.12</v>
      </c>
      <c r="Q64" s="237">
        <f t="shared" si="5"/>
        <v>1.03</v>
      </c>
    </row>
    <row r="65" spans="2:18" s="121" customFormat="1" ht="16.5" customHeight="1" x14ac:dyDescent="0.2">
      <c r="B65" s="120"/>
      <c r="C65" s="73" t="s">
        <v>242</v>
      </c>
      <c r="D65" s="73" t="s">
        <v>209</v>
      </c>
      <c r="E65" s="74" t="s">
        <v>374</v>
      </c>
      <c r="F65" s="75" t="s">
        <v>375</v>
      </c>
      <c r="G65" s="76" t="s">
        <v>99</v>
      </c>
      <c r="H65" s="77">
        <v>1</v>
      </c>
      <c r="I65" s="78">
        <v>14588.41</v>
      </c>
      <c r="J65" s="77">
        <v>14588.4</v>
      </c>
      <c r="K65" s="68">
        <v>0</v>
      </c>
      <c r="L65" s="69">
        <f t="shared" si="0"/>
        <v>14588.41</v>
      </c>
      <c r="M65" s="273">
        <f t="shared" si="1"/>
        <v>0</v>
      </c>
      <c r="N65" s="71">
        <f t="shared" si="2"/>
        <v>1</v>
      </c>
      <c r="O65" s="72">
        <f t="shared" si="3"/>
        <v>14588.41</v>
      </c>
      <c r="P65" s="274">
        <f t="shared" si="4"/>
        <v>14588.41</v>
      </c>
      <c r="Q65" s="237">
        <f t="shared" si="5"/>
        <v>1.03</v>
      </c>
    </row>
    <row r="66" spans="2:18" s="121" customFormat="1" ht="16.5" customHeight="1" x14ac:dyDescent="0.2">
      <c r="B66" s="120"/>
      <c r="C66" s="56" t="s">
        <v>245</v>
      </c>
      <c r="D66" s="56" t="s">
        <v>96</v>
      </c>
      <c r="E66" s="57" t="s">
        <v>377</v>
      </c>
      <c r="F66" s="58" t="s">
        <v>378</v>
      </c>
      <c r="G66" s="59" t="s">
        <v>99</v>
      </c>
      <c r="H66" s="60">
        <v>1</v>
      </c>
      <c r="I66" s="61">
        <v>485.32</v>
      </c>
      <c r="J66" s="60">
        <v>485.3</v>
      </c>
      <c r="K66" s="68">
        <v>0</v>
      </c>
      <c r="L66" s="69">
        <f t="shared" si="0"/>
        <v>485.32</v>
      </c>
      <c r="M66" s="273">
        <f t="shared" si="1"/>
        <v>0</v>
      </c>
      <c r="N66" s="71">
        <f t="shared" si="2"/>
        <v>1</v>
      </c>
      <c r="O66" s="72">
        <f t="shared" si="3"/>
        <v>485.32</v>
      </c>
      <c r="P66" s="274">
        <f t="shared" si="4"/>
        <v>485.32</v>
      </c>
      <c r="Q66" s="237">
        <f t="shared" si="5"/>
        <v>1.03</v>
      </c>
    </row>
    <row r="67" spans="2:18" s="121" customFormat="1" ht="16.5" customHeight="1" x14ac:dyDescent="0.2">
      <c r="B67" s="120"/>
      <c r="C67" s="73" t="s">
        <v>248</v>
      </c>
      <c r="D67" s="73" t="s">
        <v>209</v>
      </c>
      <c r="E67" s="74" t="s">
        <v>380</v>
      </c>
      <c r="F67" s="75" t="s">
        <v>381</v>
      </c>
      <c r="G67" s="76" t="s">
        <v>99</v>
      </c>
      <c r="H67" s="77">
        <v>1</v>
      </c>
      <c r="I67" s="78">
        <v>6510.34</v>
      </c>
      <c r="J67" s="77">
        <v>6510.3</v>
      </c>
      <c r="K67" s="68">
        <v>0</v>
      </c>
      <c r="L67" s="69">
        <f t="shared" si="0"/>
        <v>6510.34</v>
      </c>
      <c r="M67" s="273">
        <f t="shared" si="1"/>
        <v>0</v>
      </c>
      <c r="N67" s="71">
        <f t="shared" si="2"/>
        <v>1</v>
      </c>
      <c r="O67" s="72">
        <f t="shared" si="3"/>
        <v>6510.34</v>
      </c>
      <c r="P67" s="274">
        <f t="shared" si="4"/>
        <v>6510.34</v>
      </c>
      <c r="Q67" s="237">
        <f t="shared" si="5"/>
        <v>1.03</v>
      </c>
    </row>
    <row r="68" spans="2:18" s="121" customFormat="1" ht="16.5" customHeight="1" x14ac:dyDescent="0.2">
      <c r="B68" s="120"/>
      <c r="C68" s="56" t="s">
        <v>251</v>
      </c>
      <c r="D68" s="56" t="s">
        <v>96</v>
      </c>
      <c r="E68" s="57" t="s">
        <v>383</v>
      </c>
      <c r="F68" s="58" t="s">
        <v>384</v>
      </c>
      <c r="G68" s="59" t="s">
        <v>133</v>
      </c>
      <c r="H68" s="60">
        <v>41.78</v>
      </c>
      <c r="I68" s="61">
        <v>9.2100000000000009</v>
      </c>
      <c r="J68" s="60">
        <v>384.8</v>
      </c>
      <c r="K68" s="68">
        <f t="shared" ref="K68" si="10">ROUND(43.6/43*Q68-Q68,2)</f>
        <v>0.6</v>
      </c>
      <c r="L68" s="69">
        <f t="shared" si="0"/>
        <v>9.2100000000000009</v>
      </c>
      <c r="M68" s="273">
        <f t="shared" si="1"/>
        <v>5.5260000000000007</v>
      </c>
      <c r="N68" s="71">
        <f t="shared" si="2"/>
        <v>42.38</v>
      </c>
      <c r="O68" s="72">
        <f t="shared" si="3"/>
        <v>9.2100000000000009</v>
      </c>
      <c r="P68" s="274">
        <f t="shared" si="4"/>
        <v>390.31980000000004</v>
      </c>
      <c r="Q68" s="237">
        <f t="shared" si="5"/>
        <v>43</v>
      </c>
    </row>
    <row r="69" spans="2:18" s="170" customFormat="1" ht="22.9" customHeight="1" x14ac:dyDescent="0.2">
      <c r="B69" s="165"/>
      <c r="C69" s="252"/>
      <c r="D69" s="253" t="s">
        <v>4</v>
      </c>
      <c r="E69" s="254" t="s">
        <v>118</v>
      </c>
      <c r="F69" s="254" t="s">
        <v>385</v>
      </c>
      <c r="G69" s="252"/>
      <c r="H69" s="252"/>
      <c r="I69" s="255"/>
      <c r="J69" s="256">
        <f>+SUBTOTAL(9,J70:J71)</f>
        <v>13759.099999999999</v>
      </c>
      <c r="K69" s="261"/>
      <c r="L69" s="262"/>
      <c r="M69" s="279">
        <f>M70+M71</f>
        <v>0</v>
      </c>
      <c r="N69" s="280"/>
      <c r="O69" s="262"/>
      <c r="P69" s="279">
        <f>P70+P71</f>
        <v>13759.140000000001</v>
      </c>
      <c r="Q69" s="237"/>
      <c r="R69" s="121"/>
    </row>
    <row r="70" spans="2:18" s="121" customFormat="1" ht="16.5" customHeight="1" x14ac:dyDescent="0.2">
      <c r="B70" s="120"/>
      <c r="C70" s="56" t="s">
        <v>254</v>
      </c>
      <c r="D70" s="56" t="s">
        <v>96</v>
      </c>
      <c r="E70" s="57" t="s">
        <v>387</v>
      </c>
      <c r="F70" s="58" t="s">
        <v>388</v>
      </c>
      <c r="G70" s="59" t="s">
        <v>133</v>
      </c>
      <c r="H70" s="60">
        <v>86</v>
      </c>
      <c r="I70" s="61">
        <v>87.65</v>
      </c>
      <c r="J70" s="60">
        <v>7537.9</v>
      </c>
      <c r="K70" s="68">
        <v>0</v>
      </c>
      <c r="L70" s="69">
        <f t="shared" si="0"/>
        <v>87.65</v>
      </c>
      <c r="M70" s="273">
        <f t="shared" si="1"/>
        <v>0</v>
      </c>
      <c r="N70" s="71">
        <f t="shared" si="2"/>
        <v>86</v>
      </c>
      <c r="O70" s="72">
        <f t="shared" si="3"/>
        <v>87.65</v>
      </c>
      <c r="P70" s="274">
        <f t="shared" si="4"/>
        <v>7537.9000000000005</v>
      </c>
      <c r="Q70" s="237">
        <f t="shared" si="5"/>
        <v>88.51</v>
      </c>
    </row>
    <row r="71" spans="2:18" s="121" customFormat="1" ht="16.5" customHeight="1" x14ac:dyDescent="0.2">
      <c r="B71" s="120"/>
      <c r="C71" s="56" t="s">
        <v>258</v>
      </c>
      <c r="D71" s="56" t="s">
        <v>96</v>
      </c>
      <c r="E71" s="57" t="s">
        <v>390</v>
      </c>
      <c r="F71" s="58" t="s">
        <v>391</v>
      </c>
      <c r="G71" s="59" t="s">
        <v>133</v>
      </c>
      <c r="H71" s="60">
        <v>86</v>
      </c>
      <c r="I71" s="61">
        <v>72.34</v>
      </c>
      <c r="J71" s="60">
        <v>6221.2</v>
      </c>
      <c r="K71" s="68">
        <v>0</v>
      </c>
      <c r="L71" s="69">
        <f t="shared" si="0"/>
        <v>72.34</v>
      </c>
      <c r="M71" s="273">
        <f t="shared" si="1"/>
        <v>0</v>
      </c>
      <c r="N71" s="71">
        <f t="shared" si="2"/>
        <v>86</v>
      </c>
      <c r="O71" s="72">
        <f t="shared" si="3"/>
        <v>72.34</v>
      </c>
      <c r="P71" s="274">
        <f t="shared" si="4"/>
        <v>6221.2400000000007</v>
      </c>
      <c r="Q71" s="237">
        <f t="shared" si="5"/>
        <v>88.51</v>
      </c>
    </row>
    <row r="72" spans="2:18" s="170" customFormat="1" ht="22.9" customHeight="1" x14ac:dyDescent="0.2">
      <c r="B72" s="165"/>
      <c r="C72" s="252"/>
      <c r="D72" s="253" t="s">
        <v>4</v>
      </c>
      <c r="E72" s="254" t="s">
        <v>398</v>
      </c>
      <c r="F72" s="254" t="s">
        <v>399</v>
      </c>
      <c r="G72" s="252"/>
      <c r="H72" s="252"/>
      <c r="I72" s="255"/>
      <c r="J72" s="256">
        <f>+SUBTOTAL(9,J73:J75)</f>
        <v>17496.7</v>
      </c>
      <c r="K72" s="261"/>
      <c r="L72" s="262"/>
      <c r="M72" s="279">
        <f>SUM(M73:M75)</f>
        <v>164.04579999999999</v>
      </c>
      <c r="N72" s="280"/>
      <c r="O72" s="262"/>
      <c r="P72" s="279">
        <f>SUM(P73:P75)</f>
        <v>17660.6947</v>
      </c>
      <c r="Q72" s="237"/>
      <c r="R72" s="121"/>
    </row>
    <row r="73" spans="2:18" s="121" customFormat="1" ht="16.5" customHeight="1" x14ac:dyDescent="0.2">
      <c r="B73" s="120"/>
      <c r="C73" s="56" t="s">
        <v>261</v>
      </c>
      <c r="D73" s="56" t="s">
        <v>96</v>
      </c>
      <c r="E73" s="57" t="s">
        <v>401</v>
      </c>
      <c r="F73" s="58" t="s">
        <v>402</v>
      </c>
      <c r="G73" s="59" t="s">
        <v>201</v>
      </c>
      <c r="H73" s="60">
        <v>44.48</v>
      </c>
      <c r="I73" s="61">
        <v>183.82</v>
      </c>
      <c r="J73" s="60">
        <v>8176.3</v>
      </c>
      <c r="K73" s="68">
        <f t="shared" ref="K73" si="11">ROUND(43.6/43*Q73-Q73,2)</f>
        <v>0.64</v>
      </c>
      <c r="L73" s="69">
        <f t="shared" si="0"/>
        <v>183.82</v>
      </c>
      <c r="M73" s="273">
        <f t="shared" si="1"/>
        <v>117.6448</v>
      </c>
      <c r="N73" s="71">
        <f t="shared" si="2"/>
        <v>45.12</v>
      </c>
      <c r="O73" s="72">
        <f t="shared" si="3"/>
        <v>183.82</v>
      </c>
      <c r="P73" s="274">
        <f t="shared" si="4"/>
        <v>8293.9583999999995</v>
      </c>
      <c r="Q73" s="237">
        <f t="shared" si="5"/>
        <v>45.78</v>
      </c>
    </row>
    <row r="74" spans="2:18" s="121" customFormat="1" ht="16.5" customHeight="1" x14ac:dyDescent="0.2">
      <c r="B74" s="120"/>
      <c r="C74" s="56" t="s">
        <v>264</v>
      </c>
      <c r="D74" s="56" t="s">
        <v>96</v>
      </c>
      <c r="E74" s="57" t="s">
        <v>407</v>
      </c>
      <c r="F74" s="58" t="s">
        <v>408</v>
      </c>
      <c r="G74" s="59" t="s">
        <v>201</v>
      </c>
      <c r="H74" s="60">
        <v>23.67</v>
      </c>
      <c r="I74" s="61">
        <v>257.77999999999997</v>
      </c>
      <c r="J74" s="60">
        <v>6101.7</v>
      </c>
      <c r="K74" s="68">
        <v>0</v>
      </c>
      <c r="L74" s="69">
        <f t="shared" si="0"/>
        <v>257.77999999999997</v>
      </c>
      <c r="M74" s="273">
        <f t="shared" si="1"/>
        <v>0</v>
      </c>
      <c r="N74" s="71">
        <f t="shared" si="2"/>
        <v>23.67</v>
      </c>
      <c r="O74" s="72">
        <f t="shared" si="3"/>
        <v>257.77999999999997</v>
      </c>
      <c r="P74" s="274">
        <f t="shared" si="4"/>
        <v>6101.6525999999994</v>
      </c>
      <c r="Q74" s="237">
        <f t="shared" si="5"/>
        <v>24.36</v>
      </c>
    </row>
    <row r="75" spans="2:18" s="121" customFormat="1" ht="16.5" customHeight="1" x14ac:dyDescent="0.2">
      <c r="B75" s="120"/>
      <c r="C75" s="56" t="s">
        <v>267</v>
      </c>
      <c r="D75" s="56" t="s">
        <v>96</v>
      </c>
      <c r="E75" s="57" t="s">
        <v>410</v>
      </c>
      <c r="F75" s="58" t="s">
        <v>411</v>
      </c>
      <c r="G75" s="59" t="s">
        <v>201</v>
      </c>
      <c r="H75" s="60">
        <v>20.81</v>
      </c>
      <c r="I75" s="61">
        <v>154.66999999999999</v>
      </c>
      <c r="J75" s="60">
        <v>3218.7</v>
      </c>
      <c r="K75" s="68">
        <f t="shared" ref="K75" si="12">ROUND(43.6/43*Q75-Q75,2)</f>
        <v>0.3</v>
      </c>
      <c r="L75" s="69">
        <f t="shared" si="0"/>
        <v>154.66999999999999</v>
      </c>
      <c r="M75" s="273">
        <f t="shared" si="1"/>
        <v>46.400999999999996</v>
      </c>
      <c r="N75" s="71">
        <f t="shared" si="2"/>
        <v>21.11</v>
      </c>
      <c r="O75" s="72">
        <f t="shared" si="3"/>
        <v>154.66999999999999</v>
      </c>
      <c r="P75" s="274">
        <f t="shared" si="4"/>
        <v>3265.0836999999997</v>
      </c>
      <c r="Q75" s="237">
        <f t="shared" si="5"/>
        <v>21.42</v>
      </c>
    </row>
    <row r="76" spans="2:18" s="170" customFormat="1" ht="22.9" customHeight="1" x14ac:dyDescent="0.2">
      <c r="B76" s="165"/>
      <c r="C76" s="252"/>
      <c r="D76" s="253" t="s">
        <v>4</v>
      </c>
      <c r="E76" s="254" t="s">
        <v>412</v>
      </c>
      <c r="F76" s="254" t="s">
        <v>413</v>
      </c>
      <c r="G76" s="252"/>
      <c r="H76" s="252"/>
      <c r="I76" s="255"/>
      <c r="J76" s="256">
        <f>+SUBTOTAL(9,J77)</f>
        <v>13178.9</v>
      </c>
      <c r="K76" s="261"/>
      <c r="L76" s="262"/>
      <c r="M76" s="279">
        <f>M77</f>
        <v>188.79300000000001</v>
      </c>
      <c r="N76" s="280"/>
      <c r="O76" s="262"/>
      <c r="P76" s="279">
        <f>P77</f>
        <v>13367.688600000001</v>
      </c>
      <c r="Q76" s="237"/>
      <c r="R76" s="121"/>
    </row>
    <row r="77" spans="2:18" s="121" customFormat="1" ht="16.5" customHeight="1" x14ac:dyDescent="0.2">
      <c r="B77" s="120"/>
      <c r="C77" s="56" t="s">
        <v>270</v>
      </c>
      <c r="D77" s="56" t="s">
        <v>96</v>
      </c>
      <c r="E77" s="57" t="s">
        <v>415</v>
      </c>
      <c r="F77" s="58" t="s">
        <v>416</v>
      </c>
      <c r="G77" s="59" t="s">
        <v>201</v>
      </c>
      <c r="H77" s="60">
        <v>115.18</v>
      </c>
      <c r="I77" s="61">
        <v>114.42</v>
      </c>
      <c r="J77" s="60">
        <v>13178.9</v>
      </c>
      <c r="K77" s="68">
        <f t="shared" ref="K77" si="13">ROUND(43.6/43*Q77-Q77,2)</f>
        <v>1.65</v>
      </c>
      <c r="L77" s="69">
        <f t="shared" si="0"/>
        <v>114.42</v>
      </c>
      <c r="M77" s="273">
        <f t="shared" si="1"/>
        <v>188.79300000000001</v>
      </c>
      <c r="N77" s="71">
        <f t="shared" si="2"/>
        <v>116.83000000000001</v>
      </c>
      <c r="O77" s="72">
        <f t="shared" si="3"/>
        <v>114.42</v>
      </c>
      <c r="P77" s="274">
        <f t="shared" si="4"/>
        <v>13367.688600000001</v>
      </c>
      <c r="Q77" s="237">
        <f t="shared" si="5"/>
        <v>118.54</v>
      </c>
    </row>
    <row r="78" spans="2:18" s="121" customFormat="1" ht="6.95" customHeight="1" x14ac:dyDescent="0.2">
      <c r="B78" s="120"/>
      <c r="C78" s="120"/>
      <c r="D78" s="120"/>
      <c r="E78" s="120"/>
      <c r="F78" s="120"/>
      <c r="G78" s="120"/>
      <c r="H78" s="120"/>
      <c r="I78" s="153"/>
      <c r="J78" s="120"/>
    </row>
    <row r="79" spans="2:18" ht="18" customHeight="1" x14ac:dyDescent="0.2">
      <c r="D79" s="42"/>
      <c r="E79" s="43" t="s">
        <v>880</v>
      </c>
      <c r="F79" s="44"/>
      <c r="G79" s="44"/>
      <c r="H79" s="45"/>
      <c r="I79" s="44"/>
      <c r="J79" s="46">
        <f>J12</f>
        <v>478225.00000000012</v>
      </c>
      <c r="K79" s="49"/>
      <c r="L79" s="46"/>
      <c r="M79" s="281">
        <f>M76+M72+M69+M49+M43+M40+M37+M14</f>
        <v>4804.8485999999994</v>
      </c>
      <c r="N79" s="281"/>
      <c r="O79" s="281"/>
      <c r="P79" s="281">
        <f t="shared" ref="P79" si="14">P76+P72+P69+P49+P43+P40+P37+P14</f>
        <v>483030.03370000003</v>
      </c>
    </row>
    <row r="80" spans="2:18" ht="12.75" x14ac:dyDescent="0.2">
      <c r="H80" s="50"/>
      <c r="I80" s="8"/>
      <c r="J80" s="9"/>
    </row>
    <row r="81" spans="5:11" ht="14.25" x14ac:dyDescent="0.2">
      <c r="E81" s="6" t="s">
        <v>849</v>
      </c>
      <c r="F81" s="6"/>
      <c r="G81" s="320" t="s">
        <v>1224</v>
      </c>
      <c r="H81" s="50"/>
      <c r="I81" s="8"/>
      <c r="J81" s="6"/>
      <c r="K81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D9:H10" name="Oblast1_2_1"/>
  </protectedRanges>
  <autoFilter ref="B10:P77" xr:uid="{00000000-0009-0000-0000-000005000000}"/>
  <mergeCells count="2">
    <mergeCell ref="K9:M9"/>
    <mergeCell ref="N9:P9"/>
  </mergeCells>
  <conditionalFormatting sqref="D3:E8 D1:J1 Q9:HI10 D2:F2 H2:J8 D11:HI11 K1:HI8 K12:O14 K15:L77">
    <cfRule type="cellIs" dxfId="546" priority="93" operator="lessThan">
      <formula>0</formula>
    </cfRule>
  </conditionalFormatting>
  <conditionalFormatting sqref="G4">
    <cfRule type="cellIs" dxfId="545" priority="92" operator="lessThan">
      <formula>0</formula>
    </cfRule>
  </conditionalFormatting>
  <conditionalFormatting sqref="G3">
    <cfRule type="cellIs" dxfId="544" priority="91" operator="lessThan">
      <formula>0</formula>
    </cfRule>
  </conditionalFormatting>
  <conditionalFormatting sqref="K12:O14 K15:L77">
    <cfRule type="cellIs" dxfId="543" priority="38" operator="lessThan">
      <formula>0</formula>
    </cfRule>
  </conditionalFormatting>
  <conditionalFormatting sqref="E79:K80 D79:D81 G81:I81 L79:HS81">
    <cfRule type="cellIs" dxfId="542" priority="27" operator="lessThan">
      <formula>0</formula>
    </cfRule>
  </conditionalFormatting>
  <conditionalFormatting sqref="G81:I81 L81:M81">
    <cfRule type="cellIs" dxfId="541" priority="26" operator="lessThan">
      <formula>0</formula>
    </cfRule>
  </conditionalFormatting>
  <conditionalFormatting sqref="G81:I81">
    <cfRule type="cellIs" dxfId="540" priority="25" operator="lessThan">
      <formula>0</formula>
    </cfRule>
  </conditionalFormatting>
  <conditionalFormatting sqref="G81:I81">
    <cfRule type="cellIs" dxfId="539" priority="24" operator="lessThan">
      <formula>0</formula>
    </cfRule>
  </conditionalFormatting>
  <conditionalFormatting sqref="N15:O77">
    <cfRule type="cellIs" dxfId="538" priority="10" operator="lessThan">
      <formula>0</formula>
    </cfRule>
  </conditionalFormatting>
  <conditionalFormatting sqref="N15:O77">
    <cfRule type="cellIs" dxfId="537" priority="9" operator="lessThan">
      <formula>0</formula>
    </cfRule>
  </conditionalFormatting>
  <conditionalFormatting sqref="G2">
    <cfRule type="cellIs" dxfId="536" priority="7" operator="lessThan">
      <formula>0</formula>
    </cfRule>
  </conditionalFormatting>
  <conditionalFormatting sqref="D9:J10">
    <cfRule type="cellIs" dxfId="535" priority="5" operator="lessThan">
      <formula>0</formula>
    </cfRule>
  </conditionalFormatting>
  <conditionalFormatting sqref="K9:L10 N9:O9">
    <cfRule type="cellIs" dxfId="534" priority="4" operator="lessThan">
      <formula>0</formula>
    </cfRule>
  </conditionalFormatting>
  <conditionalFormatting sqref="M10:P10">
    <cfRule type="cellIs" dxfId="533" priority="3" operator="lessThan">
      <formula>0</formula>
    </cfRule>
  </conditionalFormatting>
  <conditionalFormatting sqref="P14">
    <cfRule type="cellIs" dxfId="532" priority="2" operator="lessThan">
      <formula>0</formula>
    </cfRule>
  </conditionalFormatting>
  <conditionalFormatting sqref="P14">
    <cfRule type="cellIs" dxfId="531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8" fitToHeight="0" orientation="landscape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U88"/>
  <sheetViews>
    <sheetView showGridLines="0" view="pageBreakPreview" topLeftCell="A31" zoomScale="80" zoomScaleNormal="85" zoomScaleSheetLayoutView="80" workbookViewId="0">
      <selection activeCell="C88" sqref="C88:P88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15.83203125" style="8" customWidth="1"/>
    <col min="12" max="12" width="21.6640625" style="8" bestFit="1" customWidth="1"/>
    <col min="13" max="13" width="16.5" style="8" customWidth="1"/>
    <col min="14" max="14" width="17.6640625" style="8" bestFit="1" customWidth="1"/>
    <col min="15" max="15" width="18.6640625" style="8" bestFit="1" customWidth="1"/>
    <col min="16" max="16" width="21" style="8" bestFit="1" customWidth="1"/>
    <col min="17" max="17" width="24.5" style="8" hidden="1" customWidth="1"/>
    <col min="18" max="18" width="35.83203125" style="8" bestFit="1" customWidth="1"/>
    <col min="19" max="19" width="26.33203125" style="8" customWidth="1"/>
    <col min="20" max="20" width="37.83203125" style="8" customWidth="1"/>
    <col min="21" max="16384" width="9.33203125" style="8"/>
  </cols>
  <sheetData>
    <row r="1" spans="2:20" ht="18.95" customHeight="1" x14ac:dyDescent="0.2">
      <c r="F1" s="11"/>
      <c r="G1" s="89"/>
      <c r="H1" s="88"/>
      <c r="I1" s="8"/>
      <c r="J1" s="9"/>
    </row>
    <row r="2" spans="2:20" s="88" customFormat="1" ht="18" customHeight="1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</row>
    <row r="3" spans="2:20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20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20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20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20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20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A5 - Stoka A5</v>
      </c>
      <c r="M8" s="150"/>
      <c r="O8" s="151"/>
    </row>
    <row r="9" spans="2:20" s="15" customFormat="1" ht="20.100000000000001" customHeight="1" x14ac:dyDescent="0.2">
      <c r="C9" s="174"/>
      <c r="D9" s="176"/>
      <c r="E9" s="176"/>
      <c r="F9" s="176"/>
      <c r="G9" s="176"/>
      <c r="H9" s="176"/>
      <c r="I9" s="177"/>
      <c r="J9" s="178"/>
      <c r="K9" s="339" t="s">
        <v>1208</v>
      </c>
      <c r="L9" s="339"/>
      <c r="M9" s="340"/>
      <c r="N9" s="341" t="s">
        <v>1215</v>
      </c>
      <c r="O9" s="341"/>
      <c r="P9" s="342"/>
    </row>
    <row r="10" spans="2:20" s="15" customFormat="1" ht="24" customHeight="1" x14ac:dyDescent="0.2">
      <c r="C10" s="16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189" t="s">
        <v>932</v>
      </c>
      <c r="R10" s="189"/>
    </row>
    <row r="11" spans="2:20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20" s="121" customFormat="1" ht="22.9" customHeight="1" x14ac:dyDescent="0.25">
      <c r="B12" s="120"/>
      <c r="C12" s="152" t="s">
        <v>421</v>
      </c>
      <c r="D12" s="120"/>
      <c r="E12" s="120"/>
      <c r="F12" s="120"/>
      <c r="G12" s="120"/>
      <c r="H12" s="120"/>
      <c r="I12" s="153"/>
      <c r="J12" s="154">
        <f>+SUBTOTAL(9,J13:J84)</f>
        <v>1565882.1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20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+SUBTOTAL(9,J14:J84)</f>
        <v>1565882.1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</row>
    <row r="14" spans="2:20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+SUBTOTAL(9,J15:J36)</f>
        <v>658708.59999999986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SUM(M15:M36)</f>
        <v>2175.3847999999998</v>
      </c>
      <c r="N14" s="278" t="str">
        <f>IF(ISBLANK(H14),"",H14-K14)</f>
        <v/>
      </c>
      <c r="O14" s="272" t="str">
        <f>IF(ISBLANK(H14),"",J14-L14)</f>
        <v/>
      </c>
      <c r="P14" s="272">
        <f>SUM(P15:P36)</f>
        <v>660884.14629999991</v>
      </c>
      <c r="R14" s="218" t="s">
        <v>1216</v>
      </c>
    </row>
    <row r="15" spans="2:20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163.49</v>
      </c>
      <c r="I15" s="61">
        <v>40.770000000000003</v>
      </c>
      <c r="J15" s="60">
        <v>6665.5</v>
      </c>
      <c r="K15" s="68">
        <f>ROUND(149.2/148.7*R15-R15,2)</f>
        <v>0.56999999999999995</v>
      </c>
      <c r="L15" s="69">
        <f>I15</f>
        <v>40.770000000000003</v>
      </c>
      <c r="M15" s="273">
        <f>K15*L15</f>
        <v>23.238900000000001</v>
      </c>
      <c r="N15" s="71">
        <f>K15+H15</f>
        <v>164.06</v>
      </c>
      <c r="O15" s="72">
        <f>I15</f>
        <v>40.770000000000003</v>
      </c>
      <c r="P15" s="274">
        <f>N15*O15</f>
        <v>6688.726200000001</v>
      </c>
      <c r="R15" s="237">
        <f>ROUND(148.7/143.8*H15,2)</f>
        <v>169.06</v>
      </c>
      <c r="S15" s="121" t="s">
        <v>951</v>
      </c>
      <c r="T15" s="121" t="s">
        <v>931</v>
      </c>
    </row>
    <row r="16" spans="2:20" s="121" customFormat="1" ht="16.5" customHeight="1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312.12</v>
      </c>
      <c r="I16" s="61">
        <v>55.24</v>
      </c>
      <c r="J16" s="60">
        <v>17241.5</v>
      </c>
      <c r="K16" s="68">
        <v>0</v>
      </c>
      <c r="L16" s="69">
        <f t="shared" ref="L16:L78" si="0">I16</f>
        <v>55.24</v>
      </c>
      <c r="M16" s="273">
        <f t="shared" ref="M16:M78" si="1">K16*L16</f>
        <v>0</v>
      </c>
      <c r="N16" s="71">
        <f t="shared" ref="N16:N78" si="2">K16+H16</f>
        <v>312.12</v>
      </c>
      <c r="O16" s="72">
        <f t="shared" ref="O16:O78" si="3">I16</f>
        <v>55.24</v>
      </c>
      <c r="P16" s="274">
        <f t="shared" ref="P16:P78" si="4">N16*O16</f>
        <v>17241.5088</v>
      </c>
      <c r="R16" s="237">
        <f t="shared" ref="R16:R79" si="5">ROUND(148.7/143.8*H16,2)</f>
        <v>322.76</v>
      </c>
    </row>
    <row r="17" spans="2:20" s="121" customFormat="1" ht="16.5" customHeight="1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163.49</v>
      </c>
      <c r="I17" s="61">
        <v>98.64</v>
      </c>
      <c r="J17" s="60">
        <v>16126.7</v>
      </c>
      <c r="K17" s="68">
        <v>0</v>
      </c>
      <c r="L17" s="69">
        <f t="shared" si="0"/>
        <v>98.64</v>
      </c>
      <c r="M17" s="273">
        <f t="shared" si="1"/>
        <v>0</v>
      </c>
      <c r="N17" s="71">
        <f t="shared" si="2"/>
        <v>163.49</v>
      </c>
      <c r="O17" s="72">
        <f t="shared" si="3"/>
        <v>98.64</v>
      </c>
      <c r="P17" s="274">
        <f t="shared" si="4"/>
        <v>16126.653600000001</v>
      </c>
      <c r="R17" s="237">
        <f t="shared" si="5"/>
        <v>169.06</v>
      </c>
    </row>
    <row r="18" spans="2:20" s="121" customFormat="1" ht="16.5" customHeight="1" x14ac:dyDescent="0.2">
      <c r="B18" s="120"/>
      <c r="C18" s="56" t="s">
        <v>105</v>
      </c>
      <c r="D18" s="56" t="s">
        <v>96</v>
      </c>
      <c r="E18" s="57" t="s">
        <v>142</v>
      </c>
      <c r="F18" s="58" t="s">
        <v>143</v>
      </c>
      <c r="G18" s="59" t="s">
        <v>133</v>
      </c>
      <c r="H18" s="60">
        <v>6.6</v>
      </c>
      <c r="I18" s="61">
        <v>170.98</v>
      </c>
      <c r="J18" s="60">
        <v>1128.5</v>
      </c>
      <c r="K18" s="68">
        <f>ROUND(149.2/148.7*R18-R18,2)</f>
        <v>0.02</v>
      </c>
      <c r="L18" s="69">
        <f t="shared" si="0"/>
        <v>170.98</v>
      </c>
      <c r="M18" s="273">
        <f t="shared" si="1"/>
        <v>3.4196</v>
      </c>
      <c r="N18" s="71">
        <f t="shared" si="2"/>
        <v>6.6199999999999992</v>
      </c>
      <c r="O18" s="72">
        <f t="shared" si="3"/>
        <v>170.98</v>
      </c>
      <c r="P18" s="274">
        <f t="shared" si="4"/>
        <v>1131.8875999999998</v>
      </c>
      <c r="R18" s="237">
        <f t="shared" si="5"/>
        <v>6.82</v>
      </c>
    </row>
    <row r="19" spans="2:20" s="121" customFormat="1" ht="16.5" customHeight="1" x14ac:dyDescent="0.2">
      <c r="B19" s="120"/>
      <c r="C19" s="56" t="s">
        <v>109</v>
      </c>
      <c r="D19" s="56" t="s">
        <v>96</v>
      </c>
      <c r="E19" s="57" t="s">
        <v>145</v>
      </c>
      <c r="F19" s="58" t="s">
        <v>146</v>
      </c>
      <c r="G19" s="59" t="s">
        <v>133</v>
      </c>
      <c r="H19" s="60">
        <v>9.9</v>
      </c>
      <c r="I19" s="61">
        <v>147.30000000000001</v>
      </c>
      <c r="J19" s="60">
        <v>1458.3</v>
      </c>
      <c r="K19" s="68">
        <f t="shared" ref="K19:K39" si="6">ROUND(149.2/148.7*R19-R19,2)</f>
        <v>0.03</v>
      </c>
      <c r="L19" s="69">
        <f t="shared" si="0"/>
        <v>147.30000000000001</v>
      </c>
      <c r="M19" s="273">
        <f t="shared" si="1"/>
        <v>4.4190000000000005</v>
      </c>
      <c r="N19" s="71">
        <f t="shared" si="2"/>
        <v>9.93</v>
      </c>
      <c r="O19" s="72">
        <f t="shared" si="3"/>
        <v>147.30000000000001</v>
      </c>
      <c r="P19" s="274">
        <f t="shared" si="4"/>
        <v>1462.6890000000001</v>
      </c>
      <c r="R19" s="237">
        <f t="shared" si="5"/>
        <v>10.24</v>
      </c>
    </row>
    <row r="20" spans="2:20" s="121" customFormat="1" ht="16.5" customHeight="1" x14ac:dyDescent="0.2">
      <c r="B20" s="120"/>
      <c r="C20" s="56" t="s">
        <v>112</v>
      </c>
      <c r="D20" s="56" t="s">
        <v>96</v>
      </c>
      <c r="E20" s="57" t="s">
        <v>155</v>
      </c>
      <c r="F20" s="58" t="s">
        <v>156</v>
      </c>
      <c r="G20" s="59" t="s">
        <v>150</v>
      </c>
      <c r="H20" s="60">
        <v>32.04</v>
      </c>
      <c r="I20" s="61">
        <v>257.77999999999997</v>
      </c>
      <c r="J20" s="60">
        <v>8259.2999999999993</v>
      </c>
      <c r="K20" s="68">
        <f t="shared" si="6"/>
        <v>0.11</v>
      </c>
      <c r="L20" s="69">
        <f t="shared" si="0"/>
        <v>257.77999999999997</v>
      </c>
      <c r="M20" s="273">
        <f t="shared" si="1"/>
        <v>28.355799999999999</v>
      </c>
      <c r="N20" s="71">
        <f t="shared" si="2"/>
        <v>32.15</v>
      </c>
      <c r="O20" s="72">
        <f t="shared" si="3"/>
        <v>257.77999999999997</v>
      </c>
      <c r="P20" s="274">
        <f t="shared" si="4"/>
        <v>8287.6269999999986</v>
      </c>
      <c r="R20" s="237">
        <f t="shared" si="5"/>
        <v>33.130000000000003</v>
      </c>
    </row>
    <row r="21" spans="2:20" s="121" customFormat="1" ht="16.5" customHeight="1" x14ac:dyDescent="0.2">
      <c r="B21" s="120"/>
      <c r="C21" s="56" t="s">
        <v>115</v>
      </c>
      <c r="D21" s="56" t="s">
        <v>96</v>
      </c>
      <c r="E21" s="57" t="s">
        <v>157</v>
      </c>
      <c r="F21" s="58" t="s">
        <v>158</v>
      </c>
      <c r="G21" s="59" t="s">
        <v>150</v>
      </c>
      <c r="H21" s="60">
        <v>120.04</v>
      </c>
      <c r="I21" s="61">
        <v>257.77999999999997</v>
      </c>
      <c r="J21" s="60">
        <v>30943.9</v>
      </c>
      <c r="K21" s="68">
        <f t="shared" si="6"/>
        <v>0.42</v>
      </c>
      <c r="L21" s="69">
        <f t="shared" si="0"/>
        <v>257.77999999999997</v>
      </c>
      <c r="M21" s="273">
        <f t="shared" si="1"/>
        <v>108.26759999999999</v>
      </c>
      <c r="N21" s="71">
        <f t="shared" si="2"/>
        <v>120.46000000000001</v>
      </c>
      <c r="O21" s="72">
        <f t="shared" si="3"/>
        <v>257.77999999999997</v>
      </c>
      <c r="P21" s="274">
        <f t="shared" si="4"/>
        <v>31052.178799999998</v>
      </c>
      <c r="R21" s="237">
        <f t="shared" si="5"/>
        <v>124.13</v>
      </c>
    </row>
    <row r="22" spans="2:20" s="121" customFormat="1" ht="16.5" customHeight="1" x14ac:dyDescent="0.2">
      <c r="B22" s="120"/>
      <c r="C22" s="56" t="s">
        <v>118</v>
      </c>
      <c r="D22" s="56" t="s">
        <v>96</v>
      </c>
      <c r="E22" s="57" t="s">
        <v>160</v>
      </c>
      <c r="F22" s="58" t="s">
        <v>161</v>
      </c>
      <c r="G22" s="59" t="s">
        <v>150</v>
      </c>
      <c r="H22" s="60">
        <v>36.01</v>
      </c>
      <c r="I22" s="61">
        <v>13.15</v>
      </c>
      <c r="J22" s="60">
        <v>473.5</v>
      </c>
      <c r="K22" s="68">
        <f t="shared" si="6"/>
        <v>0.13</v>
      </c>
      <c r="L22" s="69">
        <f t="shared" si="0"/>
        <v>13.15</v>
      </c>
      <c r="M22" s="273">
        <f t="shared" si="1"/>
        <v>1.7095</v>
      </c>
      <c r="N22" s="71">
        <f t="shared" si="2"/>
        <v>36.14</v>
      </c>
      <c r="O22" s="72">
        <f t="shared" si="3"/>
        <v>13.15</v>
      </c>
      <c r="P22" s="274">
        <f t="shared" si="4"/>
        <v>475.24100000000004</v>
      </c>
      <c r="R22" s="237">
        <f t="shared" si="5"/>
        <v>37.24</v>
      </c>
    </row>
    <row r="23" spans="2:20" s="121" customFormat="1" ht="16.5" customHeight="1" x14ac:dyDescent="0.2">
      <c r="B23" s="120"/>
      <c r="C23" s="56" t="s">
        <v>121</v>
      </c>
      <c r="D23" s="56" t="s">
        <v>96</v>
      </c>
      <c r="E23" s="57" t="s">
        <v>163</v>
      </c>
      <c r="F23" s="58" t="s">
        <v>164</v>
      </c>
      <c r="G23" s="59" t="s">
        <v>150</v>
      </c>
      <c r="H23" s="60">
        <v>74.540000000000006</v>
      </c>
      <c r="I23" s="61">
        <v>315.64999999999998</v>
      </c>
      <c r="J23" s="60">
        <v>23528.6</v>
      </c>
      <c r="K23" s="68">
        <f t="shared" si="6"/>
        <v>0.26</v>
      </c>
      <c r="L23" s="69">
        <f t="shared" si="0"/>
        <v>315.64999999999998</v>
      </c>
      <c r="M23" s="273">
        <f t="shared" si="1"/>
        <v>82.069000000000003</v>
      </c>
      <c r="N23" s="71">
        <f t="shared" si="2"/>
        <v>74.800000000000011</v>
      </c>
      <c r="O23" s="72">
        <f t="shared" si="3"/>
        <v>315.64999999999998</v>
      </c>
      <c r="P23" s="274">
        <f t="shared" si="4"/>
        <v>23610.620000000003</v>
      </c>
      <c r="R23" s="237">
        <f t="shared" si="5"/>
        <v>77.08</v>
      </c>
    </row>
    <row r="24" spans="2:20" s="121" customFormat="1" ht="16.5" customHeight="1" x14ac:dyDescent="0.2">
      <c r="B24" s="120"/>
      <c r="C24" s="56" t="s">
        <v>124</v>
      </c>
      <c r="D24" s="56" t="s">
        <v>96</v>
      </c>
      <c r="E24" s="57" t="s">
        <v>166</v>
      </c>
      <c r="F24" s="58" t="s">
        <v>167</v>
      </c>
      <c r="G24" s="59" t="s">
        <v>150</v>
      </c>
      <c r="H24" s="60">
        <v>22.36</v>
      </c>
      <c r="I24" s="61">
        <v>15.78</v>
      </c>
      <c r="J24" s="60">
        <v>352.8</v>
      </c>
      <c r="K24" s="68">
        <f t="shared" si="6"/>
        <v>0.08</v>
      </c>
      <c r="L24" s="69">
        <f t="shared" si="0"/>
        <v>15.78</v>
      </c>
      <c r="M24" s="273">
        <f t="shared" si="1"/>
        <v>1.2624</v>
      </c>
      <c r="N24" s="71">
        <f t="shared" si="2"/>
        <v>22.439999999999998</v>
      </c>
      <c r="O24" s="72">
        <f t="shared" si="3"/>
        <v>15.78</v>
      </c>
      <c r="P24" s="274">
        <f t="shared" si="4"/>
        <v>354.10319999999996</v>
      </c>
      <c r="R24" s="237">
        <f t="shared" si="5"/>
        <v>23.12</v>
      </c>
    </row>
    <row r="25" spans="2:20" s="121" customFormat="1" ht="16.5" customHeight="1" x14ac:dyDescent="0.2">
      <c r="B25" s="120"/>
      <c r="C25" s="56" t="s">
        <v>127</v>
      </c>
      <c r="D25" s="56" t="s">
        <v>96</v>
      </c>
      <c r="E25" s="57" t="s">
        <v>169</v>
      </c>
      <c r="F25" s="58" t="s">
        <v>170</v>
      </c>
      <c r="G25" s="59" t="s">
        <v>150</v>
      </c>
      <c r="H25" s="60">
        <v>42.35</v>
      </c>
      <c r="I25" s="61">
        <v>837.79</v>
      </c>
      <c r="J25" s="60">
        <v>35480.400000000001</v>
      </c>
      <c r="K25" s="68">
        <f t="shared" si="6"/>
        <v>0.15</v>
      </c>
      <c r="L25" s="69">
        <f t="shared" si="0"/>
        <v>837.79</v>
      </c>
      <c r="M25" s="273">
        <f t="shared" si="1"/>
        <v>125.66849999999999</v>
      </c>
      <c r="N25" s="71">
        <f t="shared" si="2"/>
        <v>42.5</v>
      </c>
      <c r="O25" s="72">
        <f t="shared" si="3"/>
        <v>837.79</v>
      </c>
      <c r="P25" s="274">
        <f t="shared" si="4"/>
        <v>35606.074999999997</v>
      </c>
      <c r="R25" s="237">
        <f t="shared" si="5"/>
        <v>43.79</v>
      </c>
    </row>
    <row r="26" spans="2:20" s="121" customFormat="1" ht="16.5" customHeight="1" x14ac:dyDescent="0.2">
      <c r="B26" s="120"/>
      <c r="C26" s="56" t="s">
        <v>130</v>
      </c>
      <c r="D26" s="56" t="s">
        <v>96</v>
      </c>
      <c r="E26" s="57" t="s">
        <v>172</v>
      </c>
      <c r="F26" s="58" t="s">
        <v>173</v>
      </c>
      <c r="G26" s="59" t="s">
        <v>150</v>
      </c>
      <c r="H26" s="60">
        <v>113.04</v>
      </c>
      <c r="I26" s="61">
        <v>1116.6199999999999</v>
      </c>
      <c r="J26" s="60">
        <v>126222.7</v>
      </c>
      <c r="K26" s="68">
        <f t="shared" si="6"/>
        <v>0.39</v>
      </c>
      <c r="L26" s="69">
        <f t="shared" si="0"/>
        <v>1116.6199999999999</v>
      </c>
      <c r="M26" s="273">
        <f t="shared" si="1"/>
        <v>435.48179999999996</v>
      </c>
      <c r="N26" s="71">
        <f t="shared" si="2"/>
        <v>113.43</v>
      </c>
      <c r="O26" s="72">
        <f t="shared" si="3"/>
        <v>1116.6199999999999</v>
      </c>
      <c r="P26" s="274">
        <f t="shared" si="4"/>
        <v>126658.20659999999</v>
      </c>
      <c r="R26" s="237">
        <f t="shared" si="5"/>
        <v>116.89</v>
      </c>
    </row>
    <row r="27" spans="2:20" s="121" customFormat="1" ht="16.5" customHeight="1" x14ac:dyDescent="0.2">
      <c r="B27" s="120"/>
      <c r="C27" s="56" t="s">
        <v>134</v>
      </c>
      <c r="D27" s="56" t="s">
        <v>96</v>
      </c>
      <c r="E27" s="57" t="s">
        <v>175</v>
      </c>
      <c r="F27" s="58" t="s">
        <v>176</v>
      </c>
      <c r="G27" s="59" t="s">
        <v>108</v>
      </c>
      <c r="H27" s="60">
        <v>714.79</v>
      </c>
      <c r="I27" s="61">
        <v>99.96</v>
      </c>
      <c r="J27" s="60">
        <v>71450.399999999994</v>
      </c>
      <c r="K27" s="68">
        <f t="shared" si="6"/>
        <v>2.4900000000000002</v>
      </c>
      <c r="L27" s="69">
        <f t="shared" si="0"/>
        <v>99.96</v>
      </c>
      <c r="M27" s="273">
        <f t="shared" si="1"/>
        <v>248.90040000000002</v>
      </c>
      <c r="N27" s="71">
        <f t="shared" si="2"/>
        <v>717.28</v>
      </c>
      <c r="O27" s="72">
        <f t="shared" si="3"/>
        <v>99.96</v>
      </c>
      <c r="P27" s="274">
        <f t="shared" si="4"/>
        <v>71699.308799999999</v>
      </c>
      <c r="R27" s="237">
        <f t="shared" si="5"/>
        <v>739.15</v>
      </c>
    </row>
    <row r="28" spans="2:20" s="121" customFormat="1" ht="16.5" customHeight="1" x14ac:dyDescent="0.2">
      <c r="B28" s="120"/>
      <c r="C28" s="56" t="s">
        <v>2</v>
      </c>
      <c r="D28" s="56" t="s">
        <v>96</v>
      </c>
      <c r="E28" s="57" t="s">
        <v>181</v>
      </c>
      <c r="F28" s="58" t="s">
        <v>182</v>
      </c>
      <c r="G28" s="59" t="s">
        <v>108</v>
      </c>
      <c r="H28" s="60">
        <v>714.79</v>
      </c>
      <c r="I28" s="61">
        <v>149.94</v>
      </c>
      <c r="J28" s="60">
        <v>107175.6</v>
      </c>
      <c r="K28" s="68">
        <f t="shared" si="6"/>
        <v>2.4900000000000002</v>
      </c>
      <c r="L28" s="69">
        <f t="shared" si="0"/>
        <v>149.94</v>
      </c>
      <c r="M28" s="273">
        <f t="shared" si="1"/>
        <v>373.35060000000004</v>
      </c>
      <c r="N28" s="71">
        <f t="shared" si="2"/>
        <v>717.28</v>
      </c>
      <c r="O28" s="72">
        <f t="shared" si="3"/>
        <v>149.94</v>
      </c>
      <c r="P28" s="274">
        <f t="shared" si="4"/>
        <v>107548.9632</v>
      </c>
      <c r="R28" s="237">
        <f t="shared" si="5"/>
        <v>739.15</v>
      </c>
    </row>
    <row r="29" spans="2:20" s="121" customFormat="1" ht="16.5" customHeight="1" x14ac:dyDescent="0.2">
      <c r="B29" s="120"/>
      <c r="C29" s="56" t="s">
        <v>141</v>
      </c>
      <c r="D29" s="56" t="s">
        <v>96</v>
      </c>
      <c r="E29" s="57" t="s">
        <v>187</v>
      </c>
      <c r="F29" s="58" t="s">
        <v>188</v>
      </c>
      <c r="G29" s="59" t="s">
        <v>150</v>
      </c>
      <c r="H29" s="60">
        <v>574.17999999999995</v>
      </c>
      <c r="I29" s="61">
        <v>97.69</v>
      </c>
      <c r="J29" s="60">
        <v>56091.6</v>
      </c>
      <c r="K29" s="68">
        <f t="shared" si="6"/>
        <v>2</v>
      </c>
      <c r="L29" s="69">
        <f t="shared" si="0"/>
        <v>97.69</v>
      </c>
      <c r="M29" s="273">
        <f t="shared" si="1"/>
        <v>195.38</v>
      </c>
      <c r="N29" s="71">
        <f t="shared" si="2"/>
        <v>576.17999999999995</v>
      </c>
      <c r="O29" s="72">
        <f t="shared" si="3"/>
        <v>97.69</v>
      </c>
      <c r="P29" s="274">
        <f t="shared" si="4"/>
        <v>56287.024199999993</v>
      </c>
      <c r="R29" s="237">
        <f t="shared" si="5"/>
        <v>593.75</v>
      </c>
    </row>
    <row r="30" spans="2:20" s="121" customFormat="1" ht="23.25" customHeight="1" x14ac:dyDescent="0.2">
      <c r="B30" s="120"/>
      <c r="C30" s="56" t="s">
        <v>144</v>
      </c>
      <c r="D30" s="56" t="s">
        <v>96</v>
      </c>
      <c r="E30" s="57" t="s">
        <v>190</v>
      </c>
      <c r="F30" s="58" t="s">
        <v>191</v>
      </c>
      <c r="G30" s="59" t="s">
        <v>150</v>
      </c>
      <c r="H30" s="60">
        <v>125.46</v>
      </c>
      <c r="I30" s="61">
        <v>247.39</v>
      </c>
      <c r="J30" s="60">
        <v>31037.5</v>
      </c>
      <c r="K30" s="68">
        <f t="shared" si="6"/>
        <v>0.44</v>
      </c>
      <c r="L30" s="69">
        <f t="shared" si="0"/>
        <v>247.39</v>
      </c>
      <c r="M30" s="273">
        <f t="shared" si="1"/>
        <v>108.85159999999999</v>
      </c>
      <c r="N30" s="71">
        <f t="shared" si="2"/>
        <v>125.89999999999999</v>
      </c>
      <c r="O30" s="72">
        <f t="shared" si="3"/>
        <v>247.39</v>
      </c>
      <c r="P30" s="274">
        <f t="shared" si="4"/>
        <v>31146.400999999994</v>
      </c>
      <c r="R30" s="237">
        <f t="shared" si="5"/>
        <v>129.74</v>
      </c>
      <c r="S30" s="185" t="s">
        <v>950</v>
      </c>
      <c r="T30" s="190" t="s">
        <v>960</v>
      </c>
    </row>
    <row r="31" spans="2:20" s="121" customFormat="1" ht="18.75" customHeight="1" x14ac:dyDescent="0.2">
      <c r="B31" s="120"/>
      <c r="C31" s="56" t="s">
        <v>147</v>
      </c>
      <c r="D31" s="56" t="s">
        <v>96</v>
      </c>
      <c r="E31" s="57" t="s">
        <v>193</v>
      </c>
      <c r="F31" s="58" t="s">
        <v>194</v>
      </c>
      <c r="G31" s="59" t="s">
        <v>150</v>
      </c>
      <c r="H31" s="60">
        <v>125.46</v>
      </c>
      <c r="I31" s="61">
        <v>44.72</v>
      </c>
      <c r="J31" s="60">
        <v>5610.6</v>
      </c>
      <c r="K31" s="68">
        <f t="shared" si="6"/>
        <v>0.44</v>
      </c>
      <c r="L31" s="69">
        <f t="shared" si="0"/>
        <v>44.72</v>
      </c>
      <c r="M31" s="273">
        <f t="shared" si="1"/>
        <v>19.6768</v>
      </c>
      <c r="N31" s="71">
        <f t="shared" si="2"/>
        <v>125.89999999999999</v>
      </c>
      <c r="O31" s="72">
        <f t="shared" si="3"/>
        <v>44.72</v>
      </c>
      <c r="P31" s="274">
        <f t="shared" si="4"/>
        <v>5630.2479999999996</v>
      </c>
      <c r="R31" s="237">
        <f t="shared" si="5"/>
        <v>129.74</v>
      </c>
      <c r="S31" s="185" t="s">
        <v>950</v>
      </c>
      <c r="T31" s="190" t="s">
        <v>960</v>
      </c>
    </row>
    <row r="32" spans="2:20" s="121" customFormat="1" ht="18.75" customHeight="1" x14ac:dyDescent="0.2">
      <c r="B32" s="120"/>
      <c r="C32" s="56" t="s">
        <v>151</v>
      </c>
      <c r="D32" s="56" t="s">
        <v>96</v>
      </c>
      <c r="E32" s="57" t="s">
        <v>196</v>
      </c>
      <c r="F32" s="58" t="s">
        <v>197</v>
      </c>
      <c r="G32" s="59" t="s">
        <v>150</v>
      </c>
      <c r="H32" s="60">
        <v>125.46</v>
      </c>
      <c r="I32" s="61">
        <v>11.84</v>
      </c>
      <c r="J32" s="60">
        <v>1485.4</v>
      </c>
      <c r="K32" s="68">
        <f t="shared" si="6"/>
        <v>0.44</v>
      </c>
      <c r="L32" s="69">
        <f t="shared" si="0"/>
        <v>11.84</v>
      </c>
      <c r="M32" s="273">
        <f t="shared" si="1"/>
        <v>5.2096</v>
      </c>
      <c r="N32" s="71">
        <f t="shared" si="2"/>
        <v>125.89999999999999</v>
      </c>
      <c r="O32" s="72">
        <f t="shared" si="3"/>
        <v>11.84</v>
      </c>
      <c r="P32" s="274">
        <f t="shared" si="4"/>
        <v>1490.6559999999999</v>
      </c>
      <c r="R32" s="237">
        <f t="shared" si="5"/>
        <v>129.74</v>
      </c>
      <c r="S32" s="185" t="s">
        <v>950</v>
      </c>
      <c r="T32" s="190" t="s">
        <v>960</v>
      </c>
    </row>
    <row r="33" spans="2:21" s="121" customFormat="1" ht="16.5" customHeight="1" x14ac:dyDescent="0.2">
      <c r="B33" s="120"/>
      <c r="C33" s="56" t="s">
        <v>154</v>
      </c>
      <c r="D33" s="56" t="s">
        <v>96</v>
      </c>
      <c r="E33" s="57" t="s">
        <v>199</v>
      </c>
      <c r="F33" s="58" t="s">
        <v>200</v>
      </c>
      <c r="G33" s="59" t="s">
        <v>201</v>
      </c>
      <c r="H33" s="60">
        <v>250.92</v>
      </c>
      <c r="I33" s="61">
        <v>116</v>
      </c>
      <c r="J33" s="60">
        <v>29106.7</v>
      </c>
      <c r="K33" s="68">
        <f t="shared" si="6"/>
        <v>0.87</v>
      </c>
      <c r="L33" s="69">
        <f t="shared" si="0"/>
        <v>116</v>
      </c>
      <c r="M33" s="273">
        <f t="shared" si="1"/>
        <v>100.92</v>
      </c>
      <c r="N33" s="71">
        <f t="shared" si="2"/>
        <v>251.79</v>
      </c>
      <c r="O33" s="72">
        <f t="shared" si="3"/>
        <v>116</v>
      </c>
      <c r="P33" s="274">
        <f t="shared" si="4"/>
        <v>29207.64</v>
      </c>
      <c r="R33" s="237">
        <f t="shared" si="5"/>
        <v>259.47000000000003</v>
      </c>
    </row>
    <row r="34" spans="2:21" s="121" customFormat="1" ht="16.5" customHeight="1" x14ac:dyDescent="0.2">
      <c r="B34" s="120"/>
      <c r="C34" s="56" t="s">
        <v>1</v>
      </c>
      <c r="D34" s="56" t="s">
        <v>96</v>
      </c>
      <c r="E34" s="57" t="s">
        <v>203</v>
      </c>
      <c r="F34" s="58" t="s">
        <v>204</v>
      </c>
      <c r="G34" s="59" t="s">
        <v>150</v>
      </c>
      <c r="H34" s="60">
        <v>224.21</v>
      </c>
      <c r="I34" s="61">
        <v>143.36000000000001</v>
      </c>
      <c r="J34" s="60">
        <v>32142.7</v>
      </c>
      <c r="K34" s="68">
        <f t="shared" si="6"/>
        <v>0.78</v>
      </c>
      <c r="L34" s="69">
        <f t="shared" si="0"/>
        <v>143.36000000000001</v>
      </c>
      <c r="M34" s="273">
        <f t="shared" si="1"/>
        <v>111.82080000000002</v>
      </c>
      <c r="N34" s="71">
        <f t="shared" si="2"/>
        <v>224.99</v>
      </c>
      <c r="O34" s="72">
        <f t="shared" si="3"/>
        <v>143.36000000000001</v>
      </c>
      <c r="P34" s="274">
        <f t="shared" si="4"/>
        <v>32254.566400000003</v>
      </c>
      <c r="R34" s="237">
        <f t="shared" si="5"/>
        <v>231.85</v>
      </c>
    </row>
    <row r="35" spans="2:21" s="121" customFormat="1" ht="16.5" customHeight="1" x14ac:dyDescent="0.2">
      <c r="B35" s="120"/>
      <c r="C35" s="56" t="s">
        <v>159</v>
      </c>
      <c r="D35" s="56" t="s">
        <v>96</v>
      </c>
      <c r="E35" s="57" t="s">
        <v>206</v>
      </c>
      <c r="F35" s="58" t="s">
        <v>207</v>
      </c>
      <c r="G35" s="59" t="s">
        <v>150</v>
      </c>
      <c r="H35" s="60">
        <v>85.47</v>
      </c>
      <c r="I35" s="61">
        <v>318.27999999999997</v>
      </c>
      <c r="J35" s="60">
        <v>27203.4</v>
      </c>
      <c r="K35" s="68">
        <f t="shared" si="6"/>
        <v>0.3</v>
      </c>
      <c r="L35" s="69">
        <f t="shared" si="0"/>
        <v>318.27999999999997</v>
      </c>
      <c r="M35" s="273">
        <f t="shared" si="1"/>
        <v>95.483999999999995</v>
      </c>
      <c r="N35" s="71">
        <f t="shared" si="2"/>
        <v>85.77</v>
      </c>
      <c r="O35" s="72">
        <f t="shared" si="3"/>
        <v>318.27999999999997</v>
      </c>
      <c r="P35" s="274">
        <f t="shared" si="4"/>
        <v>27298.875599999996</v>
      </c>
      <c r="R35" s="237">
        <f t="shared" si="5"/>
        <v>88.38</v>
      </c>
    </row>
    <row r="36" spans="2:21" s="121" customFormat="1" ht="16.5" customHeight="1" x14ac:dyDescent="0.2">
      <c r="B36" s="120"/>
      <c r="C36" s="73" t="s">
        <v>162</v>
      </c>
      <c r="D36" s="73" t="s">
        <v>209</v>
      </c>
      <c r="E36" s="74" t="s">
        <v>210</v>
      </c>
      <c r="F36" s="75" t="s">
        <v>211</v>
      </c>
      <c r="G36" s="76" t="s">
        <v>201</v>
      </c>
      <c r="H36" s="77">
        <v>170.94</v>
      </c>
      <c r="I36" s="78">
        <v>172.71</v>
      </c>
      <c r="J36" s="77">
        <v>29523</v>
      </c>
      <c r="K36" s="68">
        <f t="shared" si="6"/>
        <v>0.59</v>
      </c>
      <c r="L36" s="69">
        <f t="shared" si="0"/>
        <v>172.71</v>
      </c>
      <c r="M36" s="273">
        <f t="shared" si="1"/>
        <v>101.8989</v>
      </c>
      <c r="N36" s="71">
        <f t="shared" si="2"/>
        <v>171.53</v>
      </c>
      <c r="O36" s="72">
        <f t="shared" si="3"/>
        <v>172.71</v>
      </c>
      <c r="P36" s="274">
        <f t="shared" si="4"/>
        <v>29624.946300000003</v>
      </c>
      <c r="R36" s="237">
        <f t="shared" si="5"/>
        <v>176.76</v>
      </c>
    </row>
    <row r="37" spans="2:21" s="170" customFormat="1" ht="22.9" customHeight="1" x14ac:dyDescent="0.2">
      <c r="B37" s="165"/>
      <c r="C37" s="252"/>
      <c r="D37" s="253" t="s">
        <v>4</v>
      </c>
      <c r="E37" s="254" t="s">
        <v>13</v>
      </c>
      <c r="F37" s="254" t="s">
        <v>222</v>
      </c>
      <c r="G37" s="252"/>
      <c r="H37" s="252"/>
      <c r="I37" s="255"/>
      <c r="J37" s="256">
        <f>+SUBTOTAL(9,J38:J39)</f>
        <v>5674.8</v>
      </c>
      <c r="K37" s="261"/>
      <c r="L37" s="262"/>
      <c r="M37" s="279">
        <f>SUM(M38:M39)</f>
        <v>19.73</v>
      </c>
      <c r="N37" s="280"/>
      <c r="O37" s="262"/>
      <c r="P37" s="279">
        <f>SUM(P38:P39)</f>
        <v>5694.4726000000001</v>
      </c>
      <c r="R37" s="237">
        <f t="shared" si="5"/>
        <v>0</v>
      </c>
    </row>
    <row r="38" spans="2:21" s="121" customFormat="1" ht="16.5" customHeight="1" x14ac:dyDescent="0.2">
      <c r="B38" s="120"/>
      <c r="C38" s="56" t="s">
        <v>165</v>
      </c>
      <c r="D38" s="56" t="s">
        <v>96</v>
      </c>
      <c r="E38" s="57" t="s">
        <v>224</v>
      </c>
      <c r="F38" s="58" t="s">
        <v>225</v>
      </c>
      <c r="G38" s="59" t="s">
        <v>133</v>
      </c>
      <c r="H38" s="60">
        <v>143.81</v>
      </c>
      <c r="I38" s="61">
        <v>32.880000000000003</v>
      </c>
      <c r="J38" s="60">
        <v>4728.5</v>
      </c>
      <c r="K38" s="68">
        <f t="shared" si="6"/>
        <v>0.5</v>
      </c>
      <c r="L38" s="69">
        <f t="shared" si="0"/>
        <v>32.880000000000003</v>
      </c>
      <c r="M38" s="273">
        <f t="shared" si="1"/>
        <v>16.440000000000001</v>
      </c>
      <c r="N38" s="71">
        <f t="shared" si="2"/>
        <v>144.31</v>
      </c>
      <c r="O38" s="72">
        <f t="shared" si="3"/>
        <v>32.880000000000003</v>
      </c>
      <c r="P38" s="274">
        <f t="shared" si="4"/>
        <v>4744.9128000000001</v>
      </c>
      <c r="R38" s="237">
        <f t="shared" si="5"/>
        <v>148.71</v>
      </c>
    </row>
    <row r="39" spans="2:21" s="121" customFormat="1" ht="16.5" customHeight="1" x14ac:dyDescent="0.2">
      <c r="B39" s="120"/>
      <c r="C39" s="56" t="s">
        <v>168</v>
      </c>
      <c r="D39" s="56" t="s">
        <v>96</v>
      </c>
      <c r="E39" s="57" t="s">
        <v>227</v>
      </c>
      <c r="F39" s="58" t="s">
        <v>228</v>
      </c>
      <c r="G39" s="59" t="s">
        <v>133</v>
      </c>
      <c r="H39" s="60">
        <v>143.81</v>
      </c>
      <c r="I39" s="61">
        <v>6.58</v>
      </c>
      <c r="J39" s="60">
        <v>946.3</v>
      </c>
      <c r="K39" s="68">
        <f t="shared" si="6"/>
        <v>0.5</v>
      </c>
      <c r="L39" s="69">
        <f t="shared" si="0"/>
        <v>6.58</v>
      </c>
      <c r="M39" s="273">
        <f t="shared" si="1"/>
        <v>3.29</v>
      </c>
      <c r="N39" s="71">
        <f t="shared" si="2"/>
        <v>144.31</v>
      </c>
      <c r="O39" s="72">
        <f t="shared" si="3"/>
        <v>6.58</v>
      </c>
      <c r="P39" s="274">
        <f t="shared" si="4"/>
        <v>949.5598</v>
      </c>
      <c r="R39" s="237">
        <f t="shared" si="5"/>
        <v>148.71</v>
      </c>
    </row>
    <row r="40" spans="2:21" s="170" customFormat="1" ht="22.9" customHeight="1" x14ac:dyDescent="0.2">
      <c r="B40" s="165"/>
      <c r="C40" s="252"/>
      <c r="D40" s="253" t="s">
        <v>4</v>
      </c>
      <c r="E40" s="254" t="s">
        <v>100</v>
      </c>
      <c r="F40" s="254" t="s">
        <v>229</v>
      </c>
      <c r="G40" s="252"/>
      <c r="H40" s="252"/>
      <c r="I40" s="255"/>
      <c r="J40" s="256">
        <f>+SUBTOTAL(9,J41:J48)</f>
        <v>68686.3</v>
      </c>
      <c r="K40" s="261"/>
      <c r="L40" s="262"/>
      <c r="M40" s="279">
        <f>SUM(M41:M48)</f>
        <v>226.23089999999999</v>
      </c>
      <c r="N40" s="280"/>
      <c r="O40" s="262"/>
      <c r="P40" s="279">
        <f>SUM(P41:P48)</f>
        <v>68912.619500000001</v>
      </c>
      <c r="R40" s="237">
        <f t="shared" si="5"/>
        <v>0</v>
      </c>
    </row>
    <row r="41" spans="2:21" s="121" customFormat="1" ht="16.5" customHeight="1" x14ac:dyDescent="0.2">
      <c r="B41" s="120"/>
      <c r="C41" s="56" t="s">
        <v>171</v>
      </c>
      <c r="D41" s="56" t="s">
        <v>96</v>
      </c>
      <c r="E41" s="57" t="s">
        <v>231</v>
      </c>
      <c r="F41" s="58" t="s">
        <v>232</v>
      </c>
      <c r="G41" s="59" t="s">
        <v>99</v>
      </c>
      <c r="H41" s="60">
        <v>3</v>
      </c>
      <c r="I41" s="61">
        <v>122.32</v>
      </c>
      <c r="J41" s="60">
        <v>367</v>
      </c>
      <c r="K41" s="68">
        <v>0</v>
      </c>
      <c r="L41" s="69">
        <f t="shared" si="0"/>
        <v>122.32</v>
      </c>
      <c r="M41" s="273">
        <f t="shared" si="1"/>
        <v>0</v>
      </c>
      <c r="N41" s="71">
        <f t="shared" si="2"/>
        <v>3</v>
      </c>
      <c r="O41" s="72">
        <f t="shared" si="3"/>
        <v>122.32</v>
      </c>
      <c r="P41" s="274">
        <f t="shared" si="4"/>
        <v>366.96</v>
      </c>
      <c r="R41" s="237">
        <f t="shared" si="5"/>
        <v>3.1</v>
      </c>
    </row>
    <row r="42" spans="2:21" s="121" customFormat="1" ht="16.5" customHeight="1" x14ac:dyDescent="0.2">
      <c r="B42" s="120"/>
      <c r="C42" s="73" t="s">
        <v>174</v>
      </c>
      <c r="D42" s="73" t="s">
        <v>209</v>
      </c>
      <c r="E42" s="74" t="s">
        <v>234</v>
      </c>
      <c r="F42" s="75" t="s">
        <v>235</v>
      </c>
      <c r="G42" s="76" t="s">
        <v>99</v>
      </c>
      <c r="H42" s="77">
        <v>1</v>
      </c>
      <c r="I42" s="78">
        <v>345.9</v>
      </c>
      <c r="J42" s="77">
        <v>345.9</v>
      </c>
      <c r="K42" s="68">
        <v>0</v>
      </c>
      <c r="L42" s="69">
        <f t="shared" si="0"/>
        <v>345.9</v>
      </c>
      <c r="M42" s="273">
        <f t="shared" si="1"/>
        <v>0</v>
      </c>
      <c r="N42" s="71">
        <f t="shared" si="2"/>
        <v>1</v>
      </c>
      <c r="O42" s="72">
        <f t="shared" si="3"/>
        <v>345.9</v>
      </c>
      <c r="P42" s="274">
        <f t="shared" si="4"/>
        <v>345.9</v>
      </c>
      <c r="R42" s="237">
        <f t="shared" si="5"/>
        <v>1.03</v>
      </c>
    </row>
    <row r="43" spans="2:21" s="121" customFormat="1" ht="16.5" customHeight="1" x14ac:dyDescent="0.2">
      <c r="B43" s="120"/>
      <c r="C43" s="73" t="s">
        <v>177</v>
      </c>
      <c r="D43" s="73" t="s">
        <v>209</v>
      </c>
      <c r="E43" s="74" t="s">
        <v>240</v>
      </c>
      <c r="F43" s="75" t="s">
        <v>241</v>
      </c>
      <c r="G43" s="76" t="s">
        <v>99</v>
      </c>
      <c r="H43" s="77">
        <v>1</v>
      </c>
      <c r="I43" s="78">
        <v>270.94</v>
      </c>
      <c r="J43" s="77">
        <v>270.89999999999998</v>
      </c>
      <c r="K43" s="68">
        <v>0</v>
      </c>
      <c r="L43" s="69">
        <f t="shared" si="0"/>
        <v>270.94</v>
      </c>
      <c r="M43" s="273">
        <f t="shared" si="1"/>
        <v>0</v>
      </c>
      <c r="N43" s="71">
        <f t="shared" si="2"/>
        <v>1</v>
      </c>
      <c r="O43" s="72">
        <f t="shared" si="3"/>
        <v>270.94</v>
      </c>
      <c r="P43" s="274">
        <f t="shared" si="4"/>
        <v>270.94</v>
      </c>
      <c r="R43" s="237">
        <f t="shared" si="5"/>
        <v>1.03</v>
      </c>
    </row>
    <row r="44" spans="2:21" s="121" customFormat="1" ht="16.5" customHeight="1" x14ac:dyDescent="0.2">
      <c r="B44" s="120"/>
      <c r="C44" s="73" t="s">
        <v>180</v>
      </c>
      <c r="D44" s="73" t="s">
        <v>209</v>
      </c>
      <c r="E44" s="74" t="s">
        <v>243</v>
      </c>
      <c r="F44" s="75" t="s">
        <v>244</v>
      </c>
      <c r="G44" s="76" t="s">
        <v>99</v>
      </c>
      <c r="H44" s="77">
        <v>1</v>
      </c>
      <c r="I44" s="78">
        <v>220.96</v>
      </c>
      <c r="J44" s="77">
        <v>221</v>
      </c>
      <c r="K44" s="68">
        <v>0</v>
      </c>
      <c r="L44" s="69">
        <f t="shared" si="0"/>
        <v>220.96</v>
      </c>
      <c r="M44" s="273">
        <f t="shared" si="1"/>
        <v>0</v>
      </c>
      <c r="N44" s="71">
        <f t="shared" si="2"/>
        <v>1</v>
      </c>
      <c r="O44" s="72">
        <f t="shared" si="3"/>
        <v>220.96</v>
      </c>
      <c r="P44" s="274">
        <f t="shared" si="4"/>
        <v>220.96</v>
      </c>
      <c r="R44" s="237">
        <f t="shared" si="5"/>
        <v>1.03</v>
      </c>
    </row>
    <row r="45" spans="2:21" s="121" customFormat="1" ht="16.5" customHeight="1" x14ac:dyDescent="0.2">
      <c r="B45" s="120"/>
      <c r="C45" s="56" t="s">
        <v>183</v>
      </c>
      <c r="D45" s="56" t="s">
        <v>96</v>
      </c>
      <c r="E45" s="57" t="s">
        <v>246</v>
      </c>
      <c r="F45" s="58" t="s">
        <v>247</v>
      </c>
      <c r="G45" s="59" t="s">
        <v>99</v>
      </c>
      <c r="H45" s="60">
        <v>3</v>
      </c>
      <c r="I45" s="61">
        <v>152.57</v>
      </c>
      <c r="J45" s="60">
        <v>457.7</v>
      </c>
      <c r="K45" s="68">
        <v>0</v>
      </c>
      <c r="L45" s="69">
        <f t="shared" si="0"/>
        <v>152.57</v>
      </c>
      <c r="M45" s="273">
        <f t="shared" si="1"/>
        <v>0</v>
      </c>
      <c r="N45" s="71">
        <f t="shared" si="2"/>
        <v>3</v>
      </c>
      <c r="O45" s="72">
        <f t="shared" si="3"/>
        <v>152.57</v>
      </c>
      <c r="P45" s="274">
        <f t="shared" si="4"/>
        <v>457.71</v>
      </c>
      <c r="R45" s="237">
        <f t="shared" si="5"/>
        <v>3.1</v>
      </c>
    </row>
    <row r="46" spans="2:21" s="121" customFormat="1" ht="16.5" customHeight="1" x14ac:dyDescent="0.2">
      <c r="B46" s="120"/>
      <c r="C46" s="73" t="s">
        <v>186</v>
      </c>
      <c r="D46" s="73" t="s">
        <v>209</v>
      </c>
      <c r="E46" s="74" t="s">
        <v>249</v>
      </c>
      <c r="F46" s="75" t="s">
        <v>250</v>
      </c>
      <c r="G46" s="76" t="s">
        <v>99</v>
      </c>
      <c r="H46" s="77">
        <v>3</v>
      </c>
      <c r="I46" s="78">
        <v>395.88</v>
      </c>
      <c r="J46" s="77">
        <v>1187.5999999999999</v>
      </c>
      <c r="K46" s="68">
        <v>0</v>
      </c>
      <c r="L46" s="69">
        <f t="shared" si="0"/>
        <v>395.88</v>
      </c>
      <c r="M46" s="273">
        <f t="shared" si="1"/>
        <v>0</v>
      </c>
      <c r="N46" s="71">
        <f t="shared" si="2"/>
        <v>3</v>
      </c>
      <c r="O46" s="72">
        <f t="shared" si="3"/>
        <v>395.88</v>
      </c>
      <c r="P46" s="274">
        <f t="shared" si="4"/>
        <v>1187.6399999999999</v>
      </c>
      <c r="R46" s="237">
        <f t="shared" si="5"/>
        <v>3.1</v>
      </c>
    </row>
    <row r="47" spans="2:21" s="121" customFormat="1" ht="16.5" customHeight="1" x14ac:dyDescent="0.2">
      <c r="B47" s="120"/>
      <c r="C47" s="56" t="s">
        <v>189</v>
      </c>
      <c r="D47" s="56" t="s">
        <v>96</v>
      </c>
      <c r="E47" s="57" t="s">
        <v>252</v>
      </c>
      <c r="F47" s="58" t="s">
        <v>253</v>
      </c>
      <c r="G47" s="59" t="s">
        <v>150</v>
      </c>
      <c r="H47" s="60">
        <v>18.77</v>
      </c>
      <c r="I47" s="61">
        <v>3239.16</v>
      </c>
      <c r="J47" s="60">
        <v>60799</v>
      </c>
      <c r="K47" s="68">
        <f t="shared" ref="K47" si="7">ROUND(149.2/148.7*H47-H47,2)</f>
        <v>0.06</v>
      </c>
      <c r="L47" s="69">
        <f t="shared" si="0"/>
        <v>3239.16</v>
      </c>
      <c r="M47" s="273">
        <f t="shared" si="1"/>
        <v>194.34959999999998</v>
      </c>
      <c r="N47" s="71">
        <f t="shared" si="2"/>
        <v>18.829999999999998</v>
      </c>
      <c r="O47" s="72">
        <f t="shared" si="3"/>
        <v>3239.16</v>
      </c>
      <c r="P47" s="274">
        <f t="shared" si="4"/>
        <v>60993.382799999992</v>
      </c>
      <c r="R47" s="237">
        <f t="shared" si="5"/>
        <v>19.41</v>
      </c>
    </row>
    <row r="48" spans="2:21" s="121" customFormat="1" ht="22.5" x14ac:dyDescent="0.2">
      <c r="B48" s="120"/>
      <c r="C48" s="56" t="s">
        <v>192</v>
      </c>
      <c r="D48" s="56" t="s">
        <v>96</v>
      </c>
      <c r="E48" s="57" t="s">
        <v>255</v>
      </c>
      <c r="F48" s="58" t="s">
        <v>256</v>
      </c>
      <c r="G48" s="59" t="s">
        <v>150</v>
      </c>
      <c r="H48" s="60">
        <v>1.58</v>
      </c>
      <c r="I48" s="61">
        <v>3188.13</v>
      </c>
      <c r="J48" s="60">
        <v>5037.2</v>
      </c>
      <c r="K48" s="68">
        <f t="shared" ref="K48" si="8">ROUND(149.2/148.7*R48-R48,2)</f>
        <v>0.01</v>
      </c>
      <c r="L48" s="69">
        <f t="shared" si="0"/>
        <v>3188.13</v>
      </c>
      <c r="M48" s="273">
        <f t="shared" si="1"/>
        <v>31.881300000000003</v>
      </c>
      <c r="N48" s="71">
        <f t="shared" si="2"/>
        <v>1.59</v>
      </c>
      <c r="O48" s="72">
        <f t="shared" si="3"/>
        <v>3188.13</v>
      </c>
      <c r="P48" s="274">
        <f t="shared" si="4"/>
        <v>5069.1267000000007</v>
      </c>
      <c r="Q48" s="190"/>
      <c r="R48" s="237">
        <f t="shared" si="5"/>
        <v>1.63</v>
      </c>
      <c r="S48" s="121" t="s">
        <v>952</v>
      </c>
      <c r="T48" s="190" t="s">
        <v>962</v>
      </c>
      <c r="U48" s="121" t="s">
        <v>971</v>
      </c>
    </row>
    <row r="49" spans="2:20" s="170" customFormat="1" ht="22.9" customHeight="1" x14ac:dyDescent="0.2">
      <c r="B49" s="165"/>
      <c r="C49" s="252"/>
      <c r="D49" s="253" t="s">
        <v>4</v>
      </c>
      <c r="E49" s="254" t="s">
        <v>105</v>
      </c>
      <c r="F49" s="254" t="s">
        <v>257</v>
      </c>
      <c r="G49" s="252"/>
      <c r="H49" s="252"/>
      <c r="I49" s="255"/>
      <c r="J49" s="256">
        <f>+SUBTOTAL(9,J50:J54)</f>
        <v>273511.90000000002</v>
      </c>
      <c r="K49" s="261"/>
      <c r="L49" s="262"/>
      <c r="M49" s="279">
        <f>SUM(M50:M54)</f>
        <v>0</v>
      </c>
      <c r="N49" s="280"/>
      <c r="O49" s="262"/>
      <c r="P49" s="279">
        <f>SUM(P50:P54)</f>
        <v>273511.88230000006</v>
      </c>
      <c r="R49" s="237">
        <f t="shared" si="5"/>
        <v>0</v>
      </c>
    </row>
    <row r="50" spans="2:20" s="121" customFormat="1" ht="16.5" customHeight="1" x14ac:dyDescent="0.2">
      <c r="B50" s="120"/>
      <c r="C50" s="56" t="s">
        <v>195</v>
      </c>
      <c r="D50" s="56" t="s">
        <v>96</v>
      </c>
      <c r="E50" s="57" t="s">
        <v>262</v>
      </c>
      <c r="F50" s="58" t="s">
        <v>263</v>
      </c>
      <c r="G50" s="59" t="s">
        <v>108</v>
      </c>
      <c r="H50" s="60">
        <v>163.49</v>
      </c>
      <c r="I50" s="61">
        <v>302.54000000000002</v>
      </c>
      <c r="J50" s="60">
        <v>49462.3</v>
      </c>
      <c r="K50" s="68">
        <v>0</v>
      </c>
      <c r="L50" s="69">
        <f t="shared" si="0"/>
        <v>302.54000000000002</v>
      </c>
      <c r="M50" s="273">
        <f t="shared" si="1"/>
        <v>0</v>
      </c>
      <c r="N50" s="71">
        <f t="shared" si="2"/>
        <v>163.49</v>
      </c>
      <c r="O50" s="72">
        <f t="shared" si="3"/>
        <v>302.54000000000002</v>
      </c>
      <c r="P50" s="274">
        <f t="shared" si="4"/>
        <v>49462.26460000001</v>
      </c>
      <c r="Q50" s="188"/>
      <c r="R50" s="237">
        <f t="shared" si="5"/>
        <v>169.06</v>
      </c>
    </row>
    <row r="51" spans="2:20" s="121" customFormat="1" ht="16.5" customHeight="1" x14ac:dyDescent="0.2">
      <c r="B51" s="120"/>
      <c r="C51" s="56" t="s">
        <v>198</v>
      </c>
      <c r="D51" s="56" t="s">
        <v>96</v>
      </c>
      <c r="E51" s="57" t="s">
        <v>268</v>
      </c>
      <c r="F51" s="58" t="s">
        <v>269</v>
      </c>
      <c r="G51" s="59" t="s">
        <v>108</v>
      </c>
      <c r="H51" s="60">
        <v>163.49</v>
      </c>
      <c r="I51" s="61">
        <v>14.18</v>
      </c>
      <c r="J51" s="60">
        <v>2318.3000000000002</v>
      </c>
      <c r="K51" s="68">
        <v>0</v>
      </c>
      <c r="L51" s="69">
        <f t="shared" si="0"/>
        <v>14.18</v>
      </c>
      <c r="M51" s="273">
        <f t="shared" si="1"/>
        <v>0</v>
      </c>
      <c r="N51" s="71">
        <f t="shared" si="2"/>
        <v>163.49</v>
      </c>
      <c r="O51" s="72">
        <f t="shared" si="3"/>
        <v>14.18</v>
      </c>
      <c r="P51" s="274">
        <f t="shared" si="4"/>
        <v>2318.2882</v>
      </c>
      <c r="R51" s="237">
        <f t="shared" si="5"/>
        <v>169.06</v>
      </c>
    </row>
    <row r="52" spans="2:20" s="121" customFormat="1" ht="16.5" customHeight="1" x14ac:dyDescent="0.2">
      <c r="B52" s="120"/>
      <c r="C52" s="56" t="s">
        <v>202</v>
      </c>
      <c r="D52" s="56" t="s">
        <v>96</v>
      </c>
      <c r="E52" s="57" t="s">
        <v>271</v>
      </c>
      <c r="F52" s="58" t="s">
        <v>272</v>
      </c>
      <c r="G52" s="59" t="s">
        <v>108</v>
      </c>
      <c r="H52" s="60">
        <v>312.12</v>
      </c>
      <c r="I52" s="61">
        <v>20.62</v>
      </c>
      <c r="J52" s="60">
        <v>6435.9</v>
      </c>
      <c r="K52" s="68">
        <v>0</v>
      </c>
      <c r="L52" s="69">
        <f t="shared" si="0"/>
        <v>20.62</v>
      </c>
      <c r="M52" s="273">
        <f t="shared" si="1"/>
        <v>0</v>
      </c>
      <c r="N52" s="71">
        <f t="shared" si="2"/>
        <v>312.12</v>
      </c>
      <c r="O52" s="72">
        <f t="shared" si="3"/>
        <v>20.62</v>
      </c>
      <c r="P52" s="274">
        <f t="shared" si="4"/>
        <v>6435.9144000000006</v>
      </c>
      <c r="R52" s="237">
        <f t="shared" si="5"/>
        <v>322.76</v>
      </c>
    </row>
    <row r="53" spans="2:20" s="121" customFormat="1" ht="16.5" customHeight="1" x14ac:dyDescent="0.2">
      <c r="B53" s="120"/>
      <c r="C53" s="56" t="s">
        <v>205</v>
      </c>
      <c r="D53" s="56" t="s">
        <v>96</v>
      </c>
      <c r="E53" s="57" t="s">
        <v>274</v>
      </c>
      <c r="F53" s="58" t="s">
        <v>275</v>
      </c>
      <c r="G53" s="59" t="s">
        <v>108</v>
      </c>
      <c r="H53" s="60">
        <v>312.12</v>
      </c>
      <c r="I53" s="61">
        <v>396.71</v>
      </c>
      <c r="J53" s="60">
        <v>123821.1</v>
      </c>
      <c r="K53" s="68">
        <v>0</v>
      </c>
      <c r="L53" s="69">
        <f t="shared" si="0"/>
        <v>396.71</v>
      </c>
      <c r="M53" s="273">
        <f t="shared" si="1"/>
        <v>0</v>
      </c>
      <c r="N53" s="71">
        <f t="shared" si="2"/>
        <v>312.12</v>
      </c>
      <c r="O53" s="72">
        <f t="shared" si="3"/>
        <v>396.71</v>
      </c>
      <c r="P53" s="274">
        <f t="shared" si="4"/>
        <v>123821.12519999999</v>
      </c>
      <c r="R53" s="237">
        <f t="shared" si="5"/>
        <v>322.76</v>
      </c>
    </row>
    <row r="54" spans="2:20" s="121" customFormat="1" ht="16.5" customHeight="1" x14ac:dyDescent="0.2">
      <c r="B54" s="120"/>
      <c r="C54" s="56" t="s">
        <v>208</v>
      </c>
      <c r="D54" s="56" t="s">
        <v>96</v>
      </c>
      <c r="E54" s="57" t="s">
        <v>277</v>
      </c>
      <c r="F54" s="58" t="s">
        <v>278</v>
      </c>
      <c r="G54" s="59" t="s">
        <v>108</v>
      </c>
      <c r="H54" s="60">
        <v>163.49</v>
      </c>
      <c r="I54" s="61">
        <v>559.51</v>
      </c>
      <c r="J54" s="60">
        <v>91474.3</v>
      </c>
      <c r="K54" s="68">
        <v>0</v>
      </c>
      <c r="L54" s="69">
        <f t="shared" si="0"/>
        <v>559.51</v>
      </c>
      <c r="M54" s="273">
        <f t="shared" si="1"/>
        <v>0</v>
      </c>
      <c r="N54" s="71">
        <f t="shared" si="2"/>
        <v>163.49</v>
      </c>
      <c r="O54" s="72">
        <f t="shared" si="3"/>
        <v>559.51</v>
      </c>
      <c r="P54" s="274">
        <f t="shared" si="4"/>
        <v>91474.289900000003</v>
      </c>
      <c r="R54" s="237">
        <f t="shared" si="5"/>
        <v>169.06</v>
      </c>
    </row>
    <row r="55" spans="2:20" s="170" customFormat="1" ht="22.9" customHeight="1" x14ac:dyDescent="0.2">
      <c r="B55" s="165"/>
      <c r="C55" s="252"/>
      <c r="D55" s="253" t="s">
        <v>4</v>
      </c>
      <c r="E55" s="254" t="s">
        <v>115</v>
      </c>
      <c r="F55" s="254" t="s">
        <v>288</v>
      </c>
      <c r="G55" s="252"/>
      <c r="H55" s="252"/>
      <c r="I55" s="255"/>
      <c r="J55" s="256">
        <f>+SUBTOTAL(9,J56:J75)</f>
        <v>405339.50000000006</v>
      </c>
      <c r="K55" s="261"/>
      <c r="L55" s="262"/>
      <c r="M55" s="279">
        <f>SUM(M56:M75)</f>
        <v>844.83500000000004</v>
      </c>
      <c r="N55" s="280"/>
      <c r="O55" s="262"/>
      <c r="P55" s="279">
        <f>SUM(P56:P75)</f>
        <v>406184.20989999996</v>
      </c>
      <c r="R55" s="237">
        <f t="shared" si="5"/>
        <v>0</v>
      </c>
    </row>
    <row r="56" spans="2:20" s="121" customFormat="1" ht="16.5" customHeight="1" x14ac:dyDescent="0.2">
      <c r="B56" s="120"/>
      <c r="C56" s="56" t="s">
        <v>212</v>
      </c>
      <c r="D56" s="56" t="s">
        <v>96</v>
      </c>
      <c r="E56" s="57" t="s">
        <v>296</v>
      </c>
      <c r="F56" s="58" t="s">
        <v>297</v>
      </c>
      <c r="G56" s="59" t="s">
        <v>133</v>
      </c>
      <c r="H56" s="60">
        <v>143.81</v>
      </c>
      <c r="I56" s="61">
        <v>552.39</v>
      </c>
      <c r="J56" s="60">
        <v>79439.199999999997</v>
      </c>
      <c r="K56" s="68">
        <f t="shared" ref="K56:K57" si="9">ROUND(149.2/148.7*R56-R56,2)</f>
        <v>0.5</v>
      </c>
      <c r="L56" s="69">
        <f t="shared" si="0"/>
        <v>552.39</v>
      </c>
      <c r="M56" s="273">
        <f t="shared" si="1"/>
        <v>276.19499999999999</v>
      </c>
      <c r="N56" s="71">
        <f t="shared" si="2"/>
        <v>144.31</v>
      </c>
      <c r="O56" s="72">
        <f t="shared" si="3"/>
        <v>552.39</v>
      </c>
      <c r="P56" s="274">
        <f t="shared" si="4"/>
        <v>79715.400899999993</v>
      </c>
      <c r="R56" s="237">
        <f t="shared" si="5"/>
        <v>148.71</v>
      </c>
    </row>
    <row r="57" spans="2:20" s="121" customFormat="1" ht="16.5" customHeight="1" x14ac:dyDescent="0.2">
      <c r="B57" s="120"/>
      <c r="C57" s="73" t="s">
        <v>215</v>
      </c>
      <c r="D57" s="73" t="s">
        <v>209</v>
      </c>
      <c r="E57" s="74" t="s">
        <v>299</v>
      </c>
      <c r="F57" s="75" t="s">
        <v>300</v>
      </c>
      <c r="G57" s="76" t="s">
        <v>133</v>
      </c>
      <c r="H57" s="77">
        <v>143.81</v>
      </c>
      <c r="I57" s="78">
        <v>1060.07</v>
      </c>
      <c r="J57" s="77">
        <v>152448.70000000001</v>
      </c>
      <c r="K57" s="68">
        <f t="shared" si="9"/>
        <v>0.5</v>
      </c>
      <c r="L57" s="69">
        <f t="shared" si="0"/>
        <v>1060.07</v>
      </c>
      <c r="M57" s="273">
        <f t="shared" si="1"/>
        <v>530.03499999999997</v>
      </c>
      <c r="N57" s="71">
        <f t="shared" si="2"/>
        <v>144.31</v>
      </c>
      <c r="O57" s="72">
        <f t="shared" si="3"/>
        <v>1060.07</v>
      </c>
      <c r="P57" s="274">
        <f t="shared" si="4"/>
        <v>152978.70170000001</v>
      </c>
      <c r="R57" s="237">
        <f t="shared" si="5"/>
        <v>148.71</v>
      </c>
    </row>
    <row r="58" spans="2:20" s="121" customFormat="1" ht="16.5" customHeight="1" x14ac:dyDescent="0.2">
      <c r="B58" s="120"/>
      <c r="C58" s="73" t="s">
        <v>219</v>
      </c>
      <c r="D58" s="73" t="s">
        <v>209</v>
      </c>
      <c r="E58" s="74" t="s">
        <v>302</v>
      </c>
      <c r="F58" s="75" t="s">
        <v>303</v>
      </c>
      <c r="G58" s="76" t="s">
        <v>99</v>
      </c>
      <c r="H58" s="77">
        <v>14</v>
      </c>
      <c r="I58" s="78">
        <v>739.15</v>
      </c>
      <c r="J58" s="77">
        <v>10348.1</v>
      </c>
      <c r="K58" s="68">
        <v>0</v>
      </c>
      <c r="L58" s="69">
        <f t="shared" si="0"/>
        <v>739.15</v>
      </c>
      <c r="M58" s="273">
        <f t="shared" si="1"/>
        <v>0</v>
      </c>
      <c r="N58" s="71">
        <f t="shared" si="2"/>
        <v>14</v>
      </c>
      <c r="O58" s="72">
        <f t="shared" si="3"/>
        <v>739.15</v>
      </c>
      <c r="P58" s="274">
        <f t="shared" si="4"/>
        <v>10348.1</v>
      </c>
      <c r="R58" s="237">
        <f t="shared" si="5"/>
        <v>14.48</v>
      </c>
      <c r="S58" s="121" t="s">
        <v>953</v>
      </c>
      <c r="T58" s="121" t="s">
        <v>931</v>
      </c>
    </row>
    <row r="59" spans="2:20" s="121" customFormat="1" ht="16.5" customHeight="1" x14ac:dyDescent="0.2">
      <c r="B59" s="120"/>
      <c r="C59" s="56" t="s">
        <v>223</v>
      </c>
      <c r="D59" s="56" t="s">
        <v>96</v>
      </c>
      <c r="E59" s="57" t="s">
        <v>320</v>
      </c>
      <c r="F59" s="58" t="s">
        <v>321</v>
      </c>
      <c r="G59" s="59" t="s">
        <v>99</v>
      </c>
      <c r="H59" s="60">
        <v>10</v>
      </c>
      <c r="I59" s="61">
        <v>260.41000000000003</v>
      </c>
      <c r="J59" s="60">
        <v>2604.1</v>
      </c>
      <c r="K59" s="68">
        <v>0</v>
      </c>
      <c r="L59" s="69">
        <f t="shared" si="0"/>
        <v>260.41000000000003</v>
      </c>
      <c r="M59" s="273">
        <f t="shared" si="1"/>
        <v>0</v>
      </c>
      <c r="N59" s="71">
        <f t="shared" si="2"/>
        <v>10</v>
      </c>
      <c r="O59" s="72">
        <f t="shared" si="3"/>
        <v>260.41000000000003</v>
      </c>
      <c r="P59" s="274">
        <f t="shared" si="4"/>
        <v>2604.1000000000004</v>
      </c>
      <c r="R59" s="237">
        <f t="shared" si="5"/>
        <v>10.34</v>
      </c>
    </row>
    <row r="60" spans="2:20" s="121" customFormat="1" ht="16.5" customHeight="1" x14ac:dyDescent="0.2">
      <c r="B60" s="120"/>
      <c r="C60" s="73" t="s">
        <v>226</v>
      </c>
      <c r="D60" s="73" t="s">
        <v>209</v>
      </c>
      <c r="E60" s="74" t="s">
        <v>326</v>
      </c>
      <c r="F60" s="75" t="s">
        <v>327</v>
      </c>
      <c r="G60" s="76" t="s">
        <v>99</v>
      </c>
      <c r="H60" s="77">
        <v>10.15</v>
      </c>
      <c r="I60" s="78">
        <v>1801.85</v>
      </c>
      <c r="J60" s="77">
        <v>18288.8</v>
      </c>
      <c r="K60" s="68">
        <v>0</v>
      </c>
      <c r="L60" s="69">
        <f t="shared" si="0"/>
        <v>1801.85</v>
      </c>
      <c r="M60" s="273">
        <f t="shared" si="1"/>
        <v>0</v>
      </c>
      <c r="N60" s="71">
        <f t="shared" si="2"/>
        <v>10.15</v>
      </c>
      <c r="O60" s="72">
        <f t="shared" si="3"/>
        <v>1801.85</v>
      </c>
      <c r="P60" s="274">
        <f t="shared" si="4"/>
        <v>18288.7775</v>
      </c>
      <c r="R60" s="237">
        <f t="shared" si="5"/>
        <v>10.5</v>
      </c>
    </row>
    <row r="61" spans="2:20" s="121" customFormat="1" ht="16.5" customHeight="1" x14ac:dyDescent="0.2">
      <c r="B61" s="120"/>
      <c r="C61" s="56" t="s">
        <v>230</v>
      </c>
      <c r="D61" s="56" t="s">
        <v>96</v>
      </c>
      <c r="E61" s="57" t="s">
        <v>329</v>
      </c>
      <c r="F61" s="58" t="s">
        <v>330</v>
      </c>
      <c r="G61" s="59" t="s">
        <v>99</v>
      </c>
      <c r="H61" s="60">
        <v>7</v>
      </c>
      <c r="I61" s="61">
        <v>219.64</v>
      </c>
      <c r="J61" s="60">
        <v>1537.5</v>
      </c>
      <c r="K61" s="68">
        <v>0</v>
      </c>
      <c r="L61" s="69">
        <f t="shared" si="0"/>
        <v>219.64</v>
      </c>
      <c r="M61" s="273">
        <f t="shared" si="1"/>
        <v>0</v>
      </c>
      <c r="N61" s="71">
        <f t="shared" si="2"/>
        <v>7</v>
      </c>
      <c r="O61" s="72">
        <f t="shared" si="3"/>
        <v>219.64</v>
      </c>
      <c r="P61" s="274">
        <f t="shared" si="4"/>
        <v>1537.48</v>
      </c>
      <c r="R61" s="237">
        <f t="shared" si="5"/>
        <v>7.24</v>
      </c>
    </row>
    <row r="62" spans="2:20" s="121" customFormat="1" ht="16.5" customHeight="1" x14ac:dyDescent="0.2">
      <c r="B62" s="120"/>
      <c r="C62" s="73" t="s">
        <v>233</v>
      </c>
      <c r="D62" s="73" t="s">
        <v>209</v>
      </c>
      <c r="E62" s="74" t="s">
        <v>332</v>
      </c>
      <c r="F62" s="75" t="s">
        <v>333</v>
      </c>
      <c r="G62" s="76" t="s">
        <v>99</v>
      </c>
      <c r="H62" s="77">
        <v>3.05</v>
      </c>
      <c r="I62" s="78">
        <v>1129.77</v>
      </c>
      <c r="J62" s="77">
        <v>3445.8</v>
      </c>
      <c r="K62" s="68">
        <v>0</v>
      </c>
      <c r="L62" s="69">
        <f t="shared" si="0"/>
        <v>1129.77</v>
      </c>
      <c r="M62" s="273">
        <f t="shared" si="1"/>
        <v>0</v>
      </c>
      <c r="N62" s="71">
        <f t="shared" si="2"/>
        <v>3.05</v>
      </c>
      <c r="O62" s="72">
        <f t="shared" si="3"/>
        <v>1129.77</v>
      </c>
      <c r="P62" s="274">
        <f t="shared" si="4"/>
        <v>3445.7984999999999</v>
      </c>
      <c r="R62" s="237">
        <f t="shared" si="5"/>
        <v>3.15</v>
      </c>
    </row>
    <row r="63" spans="2:20" s="121" customFormat="1" ht="16.5" customHeight="1" x14ac:dyDescent="0.2">
      <c r="B63" s="120"/>
      <c r="C63" s="73" t="s">
        <v>236</v>
      </c>
      <c r="D63" s="73" t="s">
        <v>209</v>
      </c>
      <c r="E63" s="74" t="s">
        <v>335</v>
      </c>
      <c r="F63" s="75" t="s">
        <v>336</v>
      </c>
      <c r="G63" s="76" t="s">
        <v>99</v>
      </c>
      <c r="H63" s="77">
        <v>4.0599999999999996</v>
      </c>
      <c r="I63" s="78">
        <v>1129.77</v>
      </c>
      <c r="J63" s="77">
        <v>4586.8999999999996</v>
      </c>
      <c r="K63" s="68">
        <v>0</v>
      </c>
      <c r="L63" s="69">
        <f t="shared" si="0"/>
        <v>1129.77</v>
      </c>
      <c r="M63" s="273">
        <f t="shared" si="1"/>
        <v>0</v>
      </c>
      <c r="N63" s="71">
        <f t="shared" si="2"/>
        <v>4.0599999999999996</v>
      </c>
      <c r="O63" s="72">
        <f t="shared" si="3"/>
        <v>1129.77</v>
      </c>
      <c r="P63" s="274">
        <f t="shared" si="4"/>
        <v>4586.8661999999995</v>
      </c>
      <c r="R63" s="237">
        <f t="shared" si="5"/>
        <v>4.2</v>
      </c>
    </row>
    <row r="64" spans="2:20" s="121" customFormat="1" ht="33.75" customHeight="1" x14ac:dyDescent="0.2">
      <c r="B64" s="120"/>
      <c r="C64" s="56" t="s">
        <v>239</v>
      </c>
      <c r="D64" s="56" t="s">
        <v>96</v>
      </c>
      <c r="E64" s="57" t="s">
        <v>347</v>
      </c>
      <c r="F64" s="58" t="s">
        <v>348</v>
      </c>
      <c r="G64" s="59" t="s">
        <v>133</v>
      </c>
      <c r="H64" s="60">
        <v>143.81</v>
      </c>
      <c r="I64" s="61">
        <v>68</v>
      </c>
      <c r="J64" s="60">
        <v>9779.1</v>
      </c>
      <c r="K64" s="68">
        <f t="shared" ref="K64" si="10">ROUND(149.2/148.7*R64-R64,2)</f>
        <v>0.5</v>
      </c>
      <c r="L64" s="69">
        <f t="shared" si="0"/>
        <v>68</v>
      </c>
      <c r="M64" s="273">
        <f t="shared" si="1"/>
        <v>34</v>
      </c>
      <c r="N64" s="71">
        <f t="shared" si="2"/>
        <v>144.31</v>
      </c>
      <c r="O64" s="72">
        <f t="shared" si="3"/>
        <v>68</v>
      </c>
      <c r="P64" s="274">
        <f t="shared" si="4"/>
        <v>9813.08</v>
      </c>
      <c r="R64" s="237">
        <f t="shared" si="5"/>
        <v>148.71</v>
      </c>
    </row>
    <row r="65" spans="2:18" s="121" customFormat="1" ht="16.5" customHeight="1" x14ac:dyDescent="0.2">
      <c r="B65" s="120"/>
      <c r="C65" s="56" t="s">
        <v>242</v>
      </c>
      <c r="D65" s="56" t="s">
        <v>96</v>
      </c>
      <c r="E65" s="57" t="s">
        <v>350</v>
      </c>
      <c r="F65" s="58" t="s">
        <v>351</v>
      </c>
      <c r="G65" s="59" t="s">
        <v>99</v>
      </c>
      <c r="H65" s="60">
        <v>6</v>
      </c>
      <c r="I65" s="61">
        <v>808.86</v>
      </c>
      <c r="J65" s="60">
        <v>4853.2</v>
      </c>
      <c r="K65" s="68">
        <v>0</v>
      </c>
      <c r="L65" s="69">
        <f t="shared" si="0"/>
        <v>808.86</v>
      </c>
      <c r="M65" s="273">
        <f t="shared" si="1"/>
        <v>0</v>
      </c>
      <c r="N65" s="71">
        <f t="shared" si="2"/>
        <v>6</v>
      </c>
      <c r="O65" s="72">
        <f t="shared" si="3"/>
        <v>808.86</v>
      </c>
      <c r="P65" s="274">
        <f t="shared" si="4"/>
        <v>4853.16</v>
      </c>
      <c r="R65" s="237">
        <f t="shared" si="5"/>
        <v>6.2</v>
      </c>
    </row>
    <row r="66" spans="2:18" s="121" customFormat="1" ht="16.5" customHeight="1" x14ac:dyDescent="0.2">
      <c r="B66" s="120"/>
      <c r="C66" s="73" t="s">
        <v>245</v>
      </c>
      <c r="D66" s="73" t="s">
        <v>209</v>
      </c>
      <c r="E66" s="74" t="s">
        <v>356</v>
      </c>
      <c r="F66" s="75" t="s">
        <v>357</v>
      </c>
      <c r="G66" s="76" t="s">
        <v>99</v>
      </c>
      <c r="H66" s="77">
        <v>3</v>
      </c>
      <c r="I66" s="78">
        <v>1202.1099999999999</v>
      </c>
      <c r="J66" s="77">
        <v>3606.3</v>
      </c>
      <c r="K66" s="68">
        <v>0</v>
      </c>
      <c r="L66" s="69">
        <f t="shared" si="0"/>
        <v>1202.1099999999999</v>
      </c>
      <c r="M66" s="273">
        <f t="shared" si="1"/>
        <v>0</v>
      </c>
      <c r="N66" s="71">
        <f t="shared" si="2"/>
        <v>3</v>
      </c>
      <c r="O66" s="72">
        <f t="shared" si="3"/>
        <v>1202.1099999999999</v>
      </c>
      <c r="P66" s="274">
        <f t="shared" si="4"/>
        <v>3606.33</v>
      </c>
      <c r="R66" s="237">
        <f t="shared" si="5"/>
        <v>3.1</v>
      </c>
    </row>
    <row r="67" spans="2:18" s="121" customFormat="1" ht="16.5" customHeight="1" x14ac:dyDescent="0.2">
      <c r="B67" s="120"/>
      <c r="C67" s="73" t="s">
        <v>248</v>
      </c>
      <c r="D67" s="73" t="s">
        <v>209</v>
      </c>
      <c r="E67" s="74" t="s">
        <v>359</v>
      </c>
      <c r="F67" s="75" t="s">
        <v>360</v>
      </c>
      <c r="G67" s="76" t="s">
        <v>99</v>
      </c>
      <c r="H67" s="77">
        <v>3</v>
      </c>
      <c r="I67" s="78">
        <v>775.98</v>
      </c>
      <c r="J67" s="77">
        <v>2327.9</v>
      </c>
      <c r="K67" s="68">
        <v>0</v>
      </c>
      <c r="L67" s="69">
        <f t="shared" si="0"/>
        <v>775.98</v>
      </c>
      <c r="M67" s="273">
        <f t="shared" si="1"/>
        <v>0</v>
      </c>
      <c r="N67" s="71">
        <f t="shared" si="2"/>
        <v>3</v>
      </c>
      <c r="O67" s="72">
        <f t="shared" si="3"/>
        <v>775.98</v>
      </c>
      <c r="P67" s="274">
        <f t="shared" si="4"/>
        <v>2327.94</v>
      </c>
      <c r="R67" s="237">
        <f t="shared" si="5"/>
        <v>3.1</v>
      </c>
    </row>
    <row r="68" spans="2:18" s="121" customFormat="1" ht="16.5" customHeight="1" x14ac:dyDescent="0.2">
      <c r="B68" s="120"/>
      <c r="C68" s="73" t="s">
        <v>251</v>
      </c>
      <c r="D68" s="73" t="s">
        <v>209</v>
      </c>
      <c r="E68" s="74" t="s">
        <v>362</v>
      </c>
      <c r="F68" s="75" t="s">
        <v>363</v>
      </c>
      <c r="G68" s="76" t="s">
        <v>99</v>
      </c>
      <c r="H68" s="77">
        <v>10</v>
      </c>
      <c r="I68" s="78">
        <v>211.75</v>
      </c>
      <c r="J68" s="77">
        <v>2117.5</v>
      </c>
      <c r="K68" s="68">
        <v>0</v>
      </c>
      <c r="L68" s="69">
        <f t="shared" si="0"/>
        <v>211.75</v>
      </c>
      <c r="M68" s="273">
        <f t="shared" si="1"/>
        <v>0</v>
      </c>
      <c r="N68" s="71">
        <f t="shared" si="2"/>
        <v>10</v>
      </c>
      <c r="O68" s="72">
        <f t="shared" si="3"/>
        <v>211.75</v>
      </c>
      <c r="P68" s="274">
        <f t="shared" si="4"/>
        <v>2117.5</v>
      </c>
      <c r="R68" s="237">
        <f t="shared" si="5"/>
        <v>10.34</v>
      </c>
    </row>
    <row r="69" spans="2:18" s="121" customFormat="1" ht="16.5" customHeight="1" x14ac:dyDescent="0.2">
      <c r="B69" s="120"/>
      <c r="C69" s="56" t="s">
        <v>254</v>
      </c>
      <c r="D69" s="56" t="s">
        <v>96</v>
      </c>
      <c r="E69" s="57" t="s">
        <v>365</v>
      </c>
      <c r="F69" s="58" t="s">
        <v>366</v>
      </c>
      <c r="G69" s="59" t="s">
        <v>99</v>
      </c>
      <c r="H69" s="60">
        <v>4</v>
      </c>
      <c r="I69" s="61">
        <v>808.86</v>
      </c>
      <c r="J69" s="60">
        <v>3235.4</v>
      </c>
      <c r="K69" s="68">
        <v>0</v>
      </c>
      <c r="L69" s="69">
        <f t="shared" si="0"/>
        <v>808.86</v>
      </c>
      <c r="M69" s="273">
        <f t="shared" si="1"/>
        <v>0</v>
      </c>
      <c r="N69" s="71">
        <f t="shared" si="2"/>
        <v>4</v>
      </c>
      <c r="O69" s="72">
        <f t="shared" si="3"/>
        <v>808.86</v>
      </c>
      <c r="P69" s="274">
        <f t="shared" si="4"/>
        <v>3235.44</v>
      </c>
      <c r="R69" s="237">
        <f t="shared" si="5"/>
        <v>4.1399999999999997</v>
      </c>
    </row>
    <row r="70" spans="2:18" s="121" customFormat="1" ht="16.5" customHeight="1" x14ac:dyDescent="0.2">
      <c r="B70" s="120"/>
      <c r="C70" s="73" t="s">
        <v>258</v>
      </c>
      <c r="D70" s="73" t="s">
        <v>209</v>
      </c>
      <c r="E70" s="74" t="s">
        <v>368</v>
      </c>
      <c r="F70" s="75" t="s">
        <v>369</v>
      </c>
      <c r="G70" s="76" t="s">
        <v>99</v>
      </c>
      <c r="H70" s="77">
        <v>4</v>
      </c>
      <c r="I70" s="78">
        <v>1530.92</v>
      </c>
      <c r="J70" s="77">
        <v>6123.7</v>
      </c>
      <c r="K70" s="68">
        <v>0</v>
      </c>
      <c r="L70" s="69">
        <f t="shared" si="0"/>
        <v>1530.92</v>
      </c>
      <c r="M70" s="273">
        <f t="shared" si="1"/>
        <v>0</v>
      </c>
      <c r="N70" s="71">
        <f t="shared" si="2"/>
        <v>4</v>
      </c>
      <c r="O70" s="72">
        <f t="shared" si="3"/>
        <v>1530.92</v>
      </c>
      <c r="P70" s="274">
        <f t="shared" si="4"/>
        <v>6123.68</v>
      </c>
      <c r="R70" s="237">
        <f t="shared" si="5"/>
        <v>4.1399999999999997</v>
      </c>
    </row>
    <row r="71" spans="2:18" s="121" customFormat="1" ht="16.5" customHeight="1" x14ac:dyDescent="0.2">
      <c r="B71" s="120"/>
      <c r="C71" s="56" t="s">
        <v>261</v>
      </c>
      <c r="D71" s="56" t="s">
        <v>96</v>
      </c>
      <c r="E71" s="57" t="s">
        <v>371</v>
      </c>
      <c r="F71" s="58" t="s">
        <v>372</v>
      </c>
      <c r="G71" s="59" t="s">
        <v>99</v>
      </c>
      <c r="H71" s="60">
        <v>4</v>
      </c>
      <c r="I71" s="61">
        <v>3234.12</v>
      </c>
      <c r="J71" s="60">
        <v>12936.5</v>
      </c>
      <c r="K71" s="68">
        <v>0</v>
      </c>
      <c r="L71" s="69">
        <f t="shared" si="0"/>
        <v>3234.12</v>
      </c>
      <c r="M71" s="273">
        <f t="shared" si="1"/>
        <v>0</v>
      </c>
      <c r="N71" s="71">
        <f t="shared" si="2"/>
        <v>4</v>
      </c>
      <c r="O71" s="72">
        <f t="shared" si="3"/>
        <v>3234.12</v>
      </c>
      <c r="P71" s="274">
        <f t="shared" si="4"/>
        <v>12936.48</v>
      </c>
      <c r="R71" s="237">
        <f t="shared" si="5"/>
        <v>4.1399999999999997</v>
      </c>
    </row>
    <row r="72" spans="2:18" s="121" customFormat="1" ht="16.5" customHeight="1" x14ac:dyDescent="0.2">
      <c r="B72" s="120"/>
      <c r="C72" s="73" t="s">
        <v>264</v>
      </c>
      <c r="D72" s="73" t="s">
        <v>209</v>
      </c>
      <c r="E72" s="74" t="s">
        <v>374</v>
      </c>
      <c r="F72" s="75" t="s">
        <v>375</v>
      </c>
      <c r="G72" s="76" t="s">
        <v>99</v>
      </c>
      <c r="H72" s="77">
        <v>4</v>
      </c>
      <c r="I72" s="78">
        <v>14588.41</v>
      </c>
      <c r="J72" s="77">
        <v>58353.599999999999</v>
      </c>
      <c r="K72" s="68">
        <v>0</v>
      </c>
      <c r="L72" s="69">
        <f t="shared" si="0"/>
        <v>14588.41</v>
      </c>
      <c r="M72" s="273">
        <f t="shared" si="1"/>
        <v>0</v>
      </c>
      <c r="N72" s="71">
        <f t="shared" si="2"/>
        <v>4</v>
      </c>
      <c r="O72" s="72">
        <f t="shared" si="3"/>
        <v>14588.41</v>
      </c>
      <c r="P72" s="274">
        <f t="shared" si="4"/>
        <v>58353.64</v>
      </c>
      <c r="R72" s="237">
        <f t="shared" si="5"/>
        <v>4.1399999999999997</v>
      </c>
    </row>
    <row r="73" spans="2:18" s="121" customFormat="1" ht="16.5" customHeight="1" x14ac:dyDescent="0.2">
      <c r="B73" s="120"/>
      <c r="C73" s="56" t="s">
        <v>267</v>
      </c>
      <c r="D73" s="56" t="s">
        <v>96</v>
      </c>
      <c r="E73" s="57" t="s">
        <v>377</v>
      </c>
      <c r="F73" s="58" t="s">
        <v>378</v>
      </c>
      <c r="G73" s="59" t="s">
        <v>99</v>
      </c>
      <c r="H73" s="60">
        <v>4</v>
      </c>
      <c r="I73" s="61">
        <v>485.32</v>
      </c>
      <c r="J73" s="60">
        <v>1941.3</v>
      </c>
      <c r="K73" s="68">
        <v>0</v>
      </c>
      <c r="L73" s="69">
        <f t="shared" si="0"/>
        <v>485.32</v>
      </c>
      <c r="M73" s="273">
        <f t="shared" si="1"/>
        <v>0</v>
      </c>
      <c r="N73" s="71">
        <f t="shared" si="2"/>
        <v>4</v>
      </c>
      <c r="O73" s="72">
        <f t="shared" si="3"/>
        <v>485.32</v>
      </c>
      <c r="P73" s="274">
        <f t="shared" si="4"/>
        <v>1941.28</v>
      </c>
      <c r="R73" s="237">
        <f t="shared" si="5"/>
        <v>4.1399999999999997</v>
      </c>
    </row>
    <row r="74" spans="2:18" s="121" customFormat="1" ht="16.5" customHeight="1" x14ac:dyDescent="0.2">
      <c r="B74" s="120"/>
      <c r="C74" s="73" t="s">
        <v>270</v>
      </c>
      <c r="D74" s="73" t="s">
        <v>209</v>
      </c>
      <c r="E74" s="74" t="s">
        <v>380</v>
      </c>
      <c r="F74" s="75" t="s">
        <v>381</v>
      </c>
      <c r="G74" s="76" t="s">
        <v>99</v>
      </c>
      <c r="H74" s="77">
        <v>4</v>
      </c>
      <c r="I74" s="78">
        <v>6510.34</v>
      </c>
      <c r="J74" s="77">
        <v>26041.4</v>
      </c>
      <c r="K74" s="68">
        <v>0</v>
      </c>
      <c r="L74" s="69">
        <f t="shared" si="0"/>
        <v>6510.34</v>
      </c>
      <c r="M74" s="273">
        <f t="shared" si="1"/>
        <v>0</v>
      </c>
      <c r="N74" s="71">
        <f t="shared" si="2"/>
        <v>4</v>
      </c>
      <c r="O74" s="72">
        <f t="shared" si="3"/>
        <v>6510.34</v>
      </c>
      <c r="P74" s="274">
        <f t="shared" si="4"/>
        <v>26041.360000000001</v>
      </c>
      <c r="R74" s="237">
        <f t="shared" si="5"/>
        <v>4.1399999999999997</v>
      </c>
    </row>
    <row r="75" spans="2:18" s="121" customFormat="1" ht="16.5" customHeight="1" x14ac:dyDescent="0.2">
      <c r="B75" s="120"/>
      <c r="C75" s="56" t="s">
        <v>273</v>
      </c>
      <c r="D75" s="56" t="s">
        <v>96</v>
      </c>
      <c r="E75" s="57" t="s">
        <v>383</v>
      </c>
      <c r="F75" s="58" t="s">
        <v>384</v>
      </c>
      <c r="G75" s="59" t="s">
        <v>133</v>
      </c>
      <c r="H75" s="60">
        <v>143.81</v>
      </c>
      <c r="I75" s="61">
        <v>9.2100000000000009</v>
      </c>
      <c r="J75" s="60">
        <v>1324.5</v>
      </c>
      <c r="K75" s="68">
        <f t="shared" ref="K75" si="11">ROUND(149.2/148.7*R75-R75,2)</f>
        <v>0.5</v>
      </c>
      <c r="L75" s="69">
        <f t="shared" si="0"/>
        <v>9.2100000000000009</v>
      </c>
      <c r="M75" s="273">
        <f t="shared" si="1"/>
        <v>4.6050000000000004</v>
      </c>
      <c r="N75" s="71">
        <f t="shared" si="2"/>
        <v>144.31</v>
      </c>
      <c r="O75" s="72">
        <f t="shared" si="3"/>
        <v>9.2100000000000009</v>
      </c>
      <c r="P75" s="274">
        <f t="shared" si="4"/>
        <v>1329.0951000000002</v>
      </c>
      <c r="R75" s="237">
        <f t="shared" si="5"/>
        <v>148.71</v>
      </c>
    </row>
    <row r="76" spans="2:18" s="170" customFormat="1" ht="22.9" customHeight="1" x14ac:dyDescent="0.2">
      <c r="B76" s="165"/>
      <c r="C76" s="252"/>
      <c r="D76" s="253" t="s">
        <v>4</v>
      </c>
      <c r="E76" s="254" t="s">
        <v>118</v>
      </c>
      <c r="F76" s="254" t="s">
        <v>385</v>
      </c>
      <c r="G76" s="252"/>
      <c r="H76" s="252"/>
      <c r="I76" s="255"/>
      <c r="J76" s="256">
        <f>+SUBTOTAL(9,J77:J78)</f>
        <v>47558.6</v>
      </c>
      <c r="K76" s="261"/>
      <c r="L76" s="262"/>
      <c r="M76" s="279">
        <f>SUM(M77:M78)</f>
        <v>0</v>
      </c>
      <c r="N76" s="280"/>
      <c r="O76" s="262"/>
      <c r="P76" s="279">
        <f>SUM(P77:P78)</f>
        <v>47558.627399999998</v>
      </c>
      <c r="R76" s="237">
        <f t="shared" si="5"/>
        <v>0</v>
      </c>
    </row>
    <row r="77" spans="2:18" s="121" customFormat="1" ht="16.5" customHeight="1" x14ac:dyDescent="0.2">
      <c r="B77" s="120"/>
      <c r="C77" s="56" t="s">
        <v>276</v>
      </c>
      <c r="D77" s="56" t="s">
        <v>96</v>
      </c>
      <c r="E77" s="57" t="s">
        <v>387</v>
      </c>
      <c r="F77" s="58" t="s">
        <v>388</v>
      </c>
      <c r="G77" s="59" t="s">
        <v>133</v>
      </c>
      <c r="H77" s="60">
        <v>297.26</v>
      </c>
      <c r="I77" s="61">
        <v>87.65</v>
      </c>
      <c r="J77" s="60">
        <v>26054.799999999999</v>
      </c>
      <c r="K77" s="68">
        <v>0</v>
      </c>
      <c r="L77" s="69">
        <f t="shared" si="0"/>
        <v>87.65</v>
      </c>
      <c r="M77" s="273">
        <f t="shared" si="1"/>
        <v>0</v>
      </c>
      <c r="N77" s="71">
        <f t="shared" si="2"/>
        <v>297.26</v>
      </c>
      <c r="O77" s="72">
        <f t="shared" si="3"/>
        <v>87.65</v>
      </c>
      <c r="P77" s="274">
        <f t="shared" si="4"/>
        <v>26054.839</v>
      </c>
      <c r="R77" s="237">
        <f t="shared" si="5"/>
        <v>307.39</v>
      </c>
    </row>
    <row r="78" spans="2:18" s="121" customFormat="1" ht="16.5" customHeight="1" x14ac:dyDescent="0.2">
      <c r="B78" s="120"/>
      <c r="C78" s="56" t="s">
        <v>279</v>
      </c>
      <c r="D78" s="56" t="s">
        <v>96</v>
      </c>
      <c r="E78" s="57" t="s">
        <v>390</v>
      </c>
      <c r="F78" s="58" t="s">
        <v>391</v>
      </c>
      <c r="G78" s="59" t="s">
        <v>133</v>
      </c>
      <c r="H78" s="60">
        <v>297.26</v>
      </c>
      <c r="I78" s="61">
        <v>72.34</v>
      </c>
      <c r="J78" s="60">
        <v>21503.8</v>
      </c>
      <c r="K78" s="68">
        <v>0</v>
      </c>
      <c r="L78" s="69">
        <f t="shared" si="0"/>
        <v>72.34</v>
      </c>
      <c r="M78" s="273">
        <f t="shared" si="1"/>
        <v>0</v>
      </c>
      <c r="N78" s="71">
        <f t="shared" si="2"/>
        <v>297.26</v>
      </c>
      <c r="O78" s="72">
        <f t="shared" si="3"/>
        <v>72.34</v>
      </c>
      <c r="P78" s="274">
        <f t="shared" si="4"/>
        <v>21503.788400000001</v>
      </c>
      <c r="R78" s="237">
        <f t="shared" si="5"/>
        <v>307.39</v>
      </c>
    </row>
    <row r="79" spans="2:18" s="170" customFormat="1" ht="22.9" customHeight="1" x14ac:dyDescent="0.2">
      <c r="B79" s="165"/>
      <c r="C79" s="252"/>
      <c r="D79" s="253" t="s">
        <v>4</v>
      </c>
      <c r="E79" s="254" t="s">
        <v>398</v>
      </c>
      <c r="F79" s="254" t="s">
        <v>399</v>
      </c>
      <c r="G79" s="252"/>
      <c r="H79" s="252"/>
      <c r="I79" s="255"/>
      <c r="J79" s="256">
        <f>+SUBTOTAL(9,J80:J82)</f>
        <v>60470.8</v>
      </c>
      <c r="K79" s="261"/>
      <c r="L79" s="262"/>
      <c r="M79" s="279">
        <f>SUM(M80:M82)</f>
        <v>136.08150000000001</v>
      </c>
      <c r="N79" s="280"/>
      <c r="O79" s="262"/>
      <c r="P79" s="279">
        <f>SUM(P80:P82)</f>
        <v>60606.857300000003</v>
      </c>
      <c r="R79" s="237">
        <f t="shared" si="5"/>
        <v>0</v>
      </c>
    </row>
    <row r="80" spans="2:18" s="121" customFormat="1" ht="16.5" customHeight="1" x14ac:dyDescent="0.2">
      <c r="B80" s="120"/>
      <c r="C80" s="56" t="s">
        <v>282</v>
      </c>
      <c r="D80" s="56" t="s">
        <v>96</v>
      </c>
      <c r="E80" s="57" t="s">
        <v>401</v>
      </c>
      <c r="F80" s="58" t="s">
        <v>402</v>
      </c>
      <c r="G80" s="59" t="s">
        <v>201</v>
      </c>
      <c r="H80" s="60">
        <v>153.74</v>
      </c>
      <c r="I80" s="61">
        <v>183.8</v>
      </c>
      <c r="J80" s="60">
        <v>28257.4</v>
      </c>
      <c r="K80" s="68">
        <f t="shared" ref="K80" si="12">ROUND(149.2/148.7*R80-R80,2)</f>
        <v>0.53</v>
      </c>
      <c r="L80" s="69">
        <f t="shared" ref="L80:L84" si="13">I80</f>
        <v>183.8</v>
      </c>
      <c r="M80" s="273">
        <f t="shared" ref="M80:M84" si="14">K80*L80</f>
        <v>97.414000000000016</v>
      </c>
      <c r="N80" s="71">
        <f t="shared" ref="N80:N84" si="15">K80+H80</f>
        <v>154.27000000000001</v>
      </c>
      <c r="O80" s="72">
        <f t="shared" ref="O80:O84" si="16">I80</f>
        <v>183.8</v>
      </c>
      <c r="P80" s="274">
        <f t="shared" ref="P80:P84" si="17">N80*O80</f>
        <v>28354.826000000005</v>
      </c>
      <c r="R80" s="237">
        <f t="shared" ref="R80:R84" si="18">ROUND(148.7/143.8*H80,2)</f>
        <v>158.97999999999999</v>
      </c>
    </row>
    <row r="81" spans="2:18" s="121" customFormat="1" ht="16.5" customHeight="1" x14ac:dyDescent="0.2">
      <c r="B81" s="120"/>
      <c r="C81" s="56" t="s">
        <v>285</v>
      </c>
      <c r="D81" s="56" t="s">
        <v>96</v>
      </c>
      <c r="E81" s="57" t="s">
        <v>407</v>
      </c>
      <c r="F81" s="58" t="s">
        <v>408</v>
      </c>
      <c r="G81" s="59" t="s">
        <v>201</v>
      </c>
      <c r="H81" s="60">
        <v>81.8</v>
      </c>
      <c r="I81" s="61">
        <v>257.77999999999997</v>
      </c>
      <c r="J81" s="60">
        <v>21086.400000000001</v>
      </c>
      <c r="K81" s="68">
        <v>0</v>
      </c>
      <c r="L81" s="69">
        <f t="shared" si="13"/>
        <v>257.77999999999997</v>
      </c>
      <c r="M81" s="273">
        <f t="shared" si="14"/>
        <v>0</v>
      </c>
      <c r="N81" s="71">
        <f t="shared" si="15"/>
        <v>81.8</v>
      </c>
      <c r="O81" s="72">
        <f t="shared" si="16"/>
        <v>257.77999999999997</v>
      </c>
      <c r="P81" s="274">
        <f t="shared" si="17"/>
        <v>21086.403999999999</v>
      </c>
      <c r="R81" s="237">
        <f t="shared" si="18"/>
        <v>84.59</v>
      </c>
    </row>
    <row r="82" spans="2:18" s="121" customFormat="1" ht="16.5" customHeight="1" x14ac:dyDescent="0.2">
      <c r="B82" s="120"/>
      <c r="C82" s="56" t="s">
        <v>289</v>
      </c>
      <c r="D82" s="56" t="s">
        <v>96</v>
      </c>
      <c r="E82" s="57" t="s">
        <v>410</v>
      </c>
      <c r="F82" s="58" t="s">
        <v>411</v>
      </c>
      <c r="G82" s="59" t="s">
        <v>201</v>
      </c>
      <c r="H82" s="60">
        <v>71.94</v>
      </c>
      <c r="I82" s="61">
        <v>154.66999999999999</v>
      </c>
      <c r="J82" s="60">
        <v>11127</v>
      </c>
      <c r="K82" s="68">
        <f t="shared" ref="K82" si="19">ROUND(149.2/148.7*R82-R82,2)</f>
        <v>0.25</v>
      </c>
      <c r="L82" s="69">
        <f t="shared" si="13"/>
        <v>154.66999999999999</v>
      </c>
      <c r="M82" s="273">
        <f t="shared" si="14"/>
        <v>38.667499999999997</v>
      </c>
      <c r="N82" s="71">
        <f t="shared" si="15"/>
        <v>72.19</v>
      </c>
      <c r="O82" s="72">
        <f t="shared" si="16"/>
        <v>154.66999999999999</v>
      </c>
      <c r="P82" s="274">
        <f t="shared" si="17"/>
        <v>11165.627299999998</v>
      </c>
      <c r="R82" s="237">
        <f t="shared" si="18"/>
        <v>74.39</v>
      </c>
    </row>
    <row r="83" spans="2:18" s="170" customFormat="1" ht="22.9" customHeight="1" x14ac:dyDescent="0.2">
      <c r="B83" s="165"/>
      <c r="C83" s="252"/>
      <c r="D83" s="253" t="s">
        <v>4</v>
      </c>
      <c r="E83" s="254" t="s">
        <v>412</v>
      </c>
      <c r="F83" s="254" t="s">
        <v>413</v>
      </c>
      <c r="G83" s="252"/>
      <c r="H83" s="252"/>
      <c r="I83" s="255"/>
      <c r="J83" s="256">
        <f>+SUBTOTAL(9,J84)</f>
        <v>45931.6</v>
      </c>
      <c r="K83" s="261"/>
      <c r="L83" s="262"/>
      <c r="M83" s="279">
        <f>M84</f>
        <v>160.18799999999999</v>
      </c>
      <c r="N83" s="280"/>
      <c r="O83" s="262"/>
      <c r="P83" s="279">
        <f>P84</f>
        <v>46091.808599999997</v>
      </c>
      <c r="R83" s="237">
        <f t="shared" si="18"/>
        <v>0</v>
      </c>
    </row>
    <row r="84" spans="2:18" s="121" customFormat="1" ht="16.5" customHeight="1" x14ac:dyDescent="0.2">
      <c r="B84" s="120"/>
      <c r="C84" s="56" t="s">
        <v>292</v>
      </c>
      <c r="D84" s="56" t="s">
        <v>96</v>
      </c>
      <c r="E84" s="57" t="s">
        <v>415</v>
      </c>
      <c r="F84" s="58" t="s">
        <v>416</v>
      </c>
      <c r="G84" s="59" t="s">
        <v>201</v>
      </c>
      <c r="H84" s="60">
        <v>401.43</v>
      </c>
      <c r="I84" s="61">
        <v>114.42</v>
      </c>
      <c r="J84" s="60">
        <v>45931.6</v>
      </c>
      <c r="K84" s="68">
        <f t="shared" ref="K84" si="20">ROUND(149.2/148.7*R84-R84,2)</f>
        <v>1.4</v>
      </c>
      <c r="L84" s="69">
        <f t="shared" si="13"/>
        <v>114.42</v>
      </c>
      <c r="M84" s="273">
        <f t="shared" si="14"/>
        <v>160.18799999999999</v>
      </c>
      <c r="N84" s="71">
        <f t="shared" si="15"/>
        <v>402.83</v>
      </c>
      <c r="O84" s="72">
        <f t="shared" si="16"/>
        <v>114.42</v>
      </c>
      <c r="P84" s="274">
        <f t="shared" si="17"/>
        <v>46091.808599999997</v>
      </c>
      <c r="R84" s="237">
        <f t="shared" si="18"/>
        <v>415.11</v>
      </c>
    </row>
    <row r="85" spans="2:18" s="121" customFormat="1" ht="6.95" customHeight="1" x14ac:dyDescent="0.2">
      <c r="B85" s="120"/>
      <c r="C85" s="120"/>
      <c r="D85" s="120"/>
      <c r="E85" s="120"/>
      <c r="F85" s="120"/>
      <c r="G85" s="120"/>
      <c r="H85" s="120"/>
      <c r="I85" s="153"/>
      <c r="J85" s="120"/>
    </row>
    <row r="86" spans="2:18" ht="18" customHeight="1" x14ac:dyDescent="0.2">
      <c r="D86" s="42"/>
      <c r="E86" s="43" t="s">
        <v>881</v>
      </c>
      <c r="F86" s="44"/>
      <c r="G86" s="44"/>
      <c r="H86" s="45"/>
      <c r="I86" s="44"/>
      <c r="J86" s="46">
        <f>J12</f>
        <v>1565882.1</v>
      </c>
      <c r="K86" s="49"/>
      <c r="L86" s="46"/>
      <c r="M86" s="281">
        <f>M83+M79+M76+M55+M49+M40+M37+M14</f>
        <v>3562.4501999999998</v>
      </c>
      <c r="N86" s="281"/>
      <c r="O86" s="281"/>
      <c r="P86" s="281">
        <f t="shared" ref="P86" si="21">P83+P79+P76+P55+P49+P40+P37+P14</f>
        <v>1569444.6239</v>
      </c>
    </row>
    <row r="87" spans="2:18" ht="12.75" x14ac:dyDescent="0.2">
      <c r="H87" s="50"/>
      <c r="I87" s="8"/>
      <c r="J87" s="9"/>
    </row>
    <row r="88" spans="2:18" ht="14.25" x14ac:dyDescent="0.2">
      <c r="E88" s="6" t="s">
        <v>849</v>
      </c>
      <c r="F88" s="6"/>
      <c r="G88" s="320" t="s">
        <v>1224</v>
      </c>
      <c r="H88" s="50"/>
      <c r="I88" s="8"/>
      <c r="J88" s="6"/>
      <c r="K88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D9:H10" name="Oblast1_2_1"/>
  </protectedRanges>
  <autoFilter ref="C10:P84" xr:uid="{00000000-0009-0000-0000-000006000000}"/>
  <mergeCells count="2">
    <mergeCell ref="K9:M9"/>
    <mergeCell ref="N9:P9"/>
  </mergeCells>
  <conditionalFormatting sqref="D3:E8 D1:J1 Q9:HI10 D2:F2 H2:J8 D11:HI11 K1:HI8 K12:O14 K15:L84">
    <cfRule type="cellIs" dxfId="530" priority="94" operator="lessThan">
      <formula>0</formula>
    </cfRule>
  </conditionalFormatting>
  <conditionalFormatting sqref="G4">
    <cfRule type="cellIs" dxfId="529" priority="93" operator="lessThan">
      <formula>0</formula>
    </cfRule>
  </conditionalFormatting>
  <conditionalFormatting sqref="G3">
    <cfRule type="cellIs" dxfId="528" priority="92" operator="lessThan">
      <formula>0</formula>
    </cfRule>
  </conditionalFormatting>
  <conditionalFormatting sqref="K12:O14 K15:L84">
    <cfRule type="cellIs" dxfId="527" priority="39" operator="lessThan">
      <formula>0</formula>
    </cfRule>
  </conditionalFormatting>
  <conditionalFormatting sqref="E86:K87 D86:D88 G88:I88 L86:HS88">
    <cfRule type="cellIs" dxfId="526" priority="28" operator="lessThan">
      <formula>0</formula>
    </cfRule>
  </conditionalFormatting>
  <conditionalFormatting sqref="G88:I88 L88:M88">
    <cfRule type="cellIs" dxfId="525" priority="27" operator="lessThan">
      <formula>0</formula>
    </cfRule>
  </conditionalFormatting>
  <conditionalFormatting sqref="G88:I88">
    <cfRule type="cellIs" dxfId="524" priority="26" operator="lessThan">
      <formula>0</formula>
    </cfRule>
  </conditionalFormatting>
  <conditionalFormatting sqref="G88:I88">
    <cfRule type="cellIs" dxfId="523" priority="25" operator="lessThan">
      <formula>0</formula>
    </cfRule>
  </conditionalFormatting>
  <conditionalFormatting sqref="N15:O84">
    <cfRule type="cellIs" dxfId="522" priority="11" operator="lessThan">
      <formula>0</formula>
    </cfRule>
  </conditionalFormatting>
  <conditionalFormatting sqref="N15:O84">
    <cfRule type="cellIs" dxfId="521" priority="10" operator="lessThan">
      <formula>0</formula>
    </cfRule>
  </conditionalFormatting>
  <conditionalFormatting sqref="G2">
    <cfRule type="cellIs" dxfId="520" priority="8" operator="lessThan">
      <formula>0</formula>
    </cfRule>
  </conditionalFormatting>
  <conditionalFormatting sqref="D9:J10">
    <cfRule type="cellIs" dxfId="519" priority="5" operator="lessThan">
      <formula>0</formula>
    </cfRule>
  </conditionalFormatting>
  <conditionalFormatting sqref="K9:L10 N9:O9">
    <cfRule type="cellIs" dxfId="518" priority="4" operator="lessThan">
      <formula>0</formula>
    </cfRule>
  </conditionalFormatting>
  <conditionalFormatting sqref="M10:P10">
    <cfRule type="cellIs" dxfId="517" priority="3" operator="lessThan">
      <formula>0</formula>
    </cfRule>
  </conditionalFormatting>
  <conditionalFormatting sqref="P14">
    <cfRule type="cellIs" dxfId="516" priority="2" operator="lessThan">
      <formula>0</formula>
    </cfRule>
  </conditionalFormatting>
  <conditionalFormatting sqref="P14">
    <cfRule type="cellIs" dxfId="515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9" fitToHeight="0" orientation="landscape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T86"/>
  <sheetViews>
    <sheetView showGridLines="0" view="pageBreakPreview" zoomScale="85" zoomScaleNormal="100" zoomScaleSheetLayoutView="85" workbookViewId="0">
      <selection activeCell="F13" sqref="F13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18.83203125" style="8" customWidth="1"/>
    <col min="12" max="12" width="21.6640625" style="8" bestFit="1" customWidth="1"/>
    <col min="13" max="13" width="21" style="8" bestFit="1" customWidth="1"/>
    <col min="14" max="14" width="17.6640625" style="8" bestFit="1" customWidth="1"/>
    <col min="15" max="15" width="21.6640625" style="8" bestFit="1" customWidth="1"/>
    <col min="16" max="16" width="21" style="8" bestFit="1" customWidth="1"/>
    <col min="17" max="17" width="24.1640625" style="8" hidden="1" customWidth="1"/>
    <col min="18" max="18" width="13.5" style="8" customWidth="1"/>
    <col min="19" max="19" width="22" style="8" bestFit="1" customWidth="1"/>
    <col min="20" max="20" width="49.33203125" style="8" bestFit="1" customWidth="1"/>
    <col min="21" max="16384" width="9.33203125" style="8"/>
  </cols>
  <sheetData>
    <row r="1" spans="2:20" ht="18.95" customHeight="1" x14ac:dyDescent="0.2">
      <c r="F1" s="11"/>
      <c r="G1" s="89"/>
      <c r="H1" s="88"/>
      <c r="I1" s="8"/>
      <c r="J1" s="9"/>
    </row>
    <row r="2" spans="2:20" s="88" customFormat="1" ht="18" customHeight="1" x14ac:dyDescent="0.2">
      <c r="E2" s="13"/>
      <c r="F2" s="11" t="s">
        <v>824</v>
      </c>
      <c r="G2" s="89" t="s">
        <v>825</v>
      </c>
      <c r="I2" s="91"/>
      <c r="J2" s="141"/>
      <c r="K2" s="95"/>
      <c r="L2" s="96"/>
      <c r="M2" s="96"/>
      <c r="N2" s="97"/>
      <c r="O2" s="142"/>
    </row>
    <row r="3" spans="2:20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20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20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20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20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20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A6 - Stoka A6</v>
      </c>
      <c r="M8" s="150"/>
      <c r="O8" s="151"/>
    </row>
    <row r="9" spans="2:20" s="15" customFormat="1" ht="20.100000000000001" customHeight="1" x14ac:dyDescent="0.2">
      <c r="C9" s="174"/>
      <c r="D9" s="176"/>
      <c r="E9" s="176"/>
      <c r="F9" s="176"/>
      <c r="G9" s="176"/>
      <c r="H9" s="176"/>
      <c r="I9" s="177"/>
      <c r="J9" s="178"/>
      <c r="K9" s="339" t="s">
        <v>1208</v>
      </c>
      <c r="L9" s="339"/>
      <c r="M9" s="340"/>
      <c r="N9" s="341" t="s">
        <v>1215</v>
      </c>
      <c r="O9" s="341"/>
      <c r="P9" s="342"/>
    </row>
    <row r="10" spans="2:20" s="15" customFormat="1" ht="24" customHeight="1" x14ac:dyDescent="0.2">
      <c r="C10" s="16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S10" s="189" t="s">
        <v>933</v>
      </c>
      <c r="T10" s="189" t="s">
        <v>990</v>
      </c>
    </row>
    <row r="11" spans="2:20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20" s="121" customFormat="1" ht="22.9" customHeight="1" x14ac:dyDescent="0.25">
      <c r="B12" s="120"/>
      <c r="C12" s="152" t="s">
        <v>422</v>
      </c>
      <c r="D12" s="120"/>
      <c r="E12" s="120"/>
      <c r="F12" s="120"/>
      <c r="G12" s="120"/>
      <c r="H12" s="120"/>
      <c r="I12" s="153"/>
      <c r="J12" s="154">
        <f>+SUBTOTAL(9,J13:J82)</f>
        <v>574558.00000000023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  <c r="S12" s="334" t="s">
        <v>934</v>
      </c>
    </row>
    <row r="13" spans="2:20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+SUBTOTAL(9,J14:J82)</f>
        <v>574558.00000000023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  <c r="S13" s="334"/>
    </row>
    <row r="14" spans="2:20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+SUBTOTAL(9,J15:J36)</f>
        <v>240632.50000000003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SUM(M15:M36)</f>
        <v>3370.5883999999996</v>
      </c>
      <c r="N14" s="278" t="str">
        <f>IF(ISBLANK(H14),"",H14-K14)</f>
        <v/>
      </c>
      <c r="O14" s="272" t="str">
        <f>IF(ISBLANK(H14),"",J14-L14)</f>
        <v/>
      </c>
      <c r="P14" s="272">
        <f>SUM(P15:P36)</f>
        <v>244003.2475</v>
      </c>
      <c r="R14" s="218" t="s">
        <v>1216</v>
      </c>
      <c r="S14" s="334"/>
    </row>
    <row r="15" spans="2:20" s="121" customFormat="1" ht="16.5" customHeight="1" x14ac:dyDescent="0.2">
      <c r="B15" s="120"/>
      <c r="C15" s="56" t="s">
        <v>8</v>
      </c>
      <c r="D15" s="56" t="s">
        <v>96</v>
      </c>
      <c r="E15" s="57" t="s">
        <v>116</v>
      </c>
      <c r="F15" s="58" t="s">
        <v>117</v>
      </c>
      <c r="G15" s="59" t="s">
        <v>108</v>
      </c>
      <c r="H15" s="60">
        <v>57.6</v>
      </c>
      <c r="I15" s="61">
        <v>40.770000000000003</v>
      </c>
      <c r="J15" s="60">
        <v>2348.4</v>
      </c>
      <c r="K15" s="68">
        <f>ROUND(53.1/52.4*R15-R15,2)</f>
        <v>0.81</v>
      </c>
      <c r="L15" s="69">
        <f>I15</f>
        <v>40.770000000000003</v>
      </c>
      <c r="M15" s="273">
        <f>K15*L15</f>
        <v>33.023700000000005</v>
      </c>
      <c r="N15" s="71">
        <f>K15+H15</f>
        <v>58.410000000000004</v>
      </c>
      <c r="O15" s="72">
        <f>I15</f>
        <v>40.770000000000003</v>
      </c>
      <c r="P15" s="274">
        <f>N15*O15</f>
        <v>2381.3757000000005</v>
      </c>
      <c r="R15" s="237">
        <f>ROUND(52.4/49.95*H15,2)</f>
        <v>60.43</v>
      </c>
      <c r="S15" s="237"/>
    </row>
    <row r="16" spans="2:20" s="121" customFormat="1" ht="16.5" customHeight="1" x14ac:dyDescent="0.2">
      <c r="B16" s="120"/>
      <c r="C16" s="56" t="s">
        <v>13</v>
      </c>
      <c r="D16" s="56" t="s">
        <v>96</v>
      </c>
      <c r="E16" s="57" t="s">
        <v>125</v>
      </c>
      <c r="F16" s="58" t="s">
        <v>126</v>
      </c>
      <c r="G16" s="59" t="s">
        <v>108</v>
      </c>
      <c r="H16" s="60">
        <v>109.96</v>
      </c>
      <c r="I16" s="61">
        <v>55.24</v>
      </c>
      <c r="J16" s="60">
        <v>6074.2</v>
      </c>
      <c r="K16" s="68">
        <f t="shared" ref="K16:K39" si="0">ROUND(53.1/52.4*R16-R16,2)</f>
        <v>1.54</v>
      </c>
      <c r="L16" s="69">
        <f t="shared" ref="L16:L79" si="1">I16</f>
        <v>55.24</v>
      </c>
      <c r="M16" s="273">
        <f t="shared" ref="M16:M79" si="2">K16*L16</f>
        <v>85.069600000000008</v>
      </c>
      <c r="N16" s="71">
        <f t="shared" ref="N16:N79" si="3">K16+H16</f>
        <v>111.5</v>
      </c>
      <c r="O16" s="72">
        <f t="shared" ref="O16:O79" si="4">I16</f>
        <v>55.24</v>
      </c>
      <c r="P16" s="274">
        <f t="shared" ref="P16:P79" si="5">N16*O16</f>
        <v>6159.26</v>
      </c>
      <c r="R16" s="237">
        <f t="shared" ref="R16:R79" si="6">ROUND(52.4/49.95*H16,2)</f>
        <v>115.35</v>
      </c>
    </row>
    <row r="17" spans="2:20" s="121" customFormat="1" ht="16.5" customHeight="1" x14ac:dyDescent="0.2">
      <c r="B17" s="120"/>
      <c r="C17" s="56" t="s">
        <v>100</v>
      </c>
      <c r="D17" s="56" t="s">
        <v>96</v>
      </c>
      <c r="E17" s="57" t="s">
        <v>128</v>
      </c>
      <c r="F17" s="58" t="s">
        <v>129</v>
      </c>
      <c r="G17" s="59" t="s">
        <v>108</v>
      </c>
      <c r="H17" s="60">
        <v>57.6</v>
      </c>
      <c r="I17" s="61">
        <v>98.64</v>
      </c>
      <c r="J17" s="60">
        <v>5681.7</v>
      </c>
      <c r="K17" s="68">
        <f t="shared" si="0"/>
        <v>0.81</v>
      </c>
      <c r="L17" s="69">
        <f t="shared" si="1"/>
        <v>98.64</v>
      </c>
      <c r="M17" s="273">
        <f t="shared" si="2"/>
        <v>79.898400000000009</v>
      </c>
      <c r="N17" s="71">
        <f t="shared" si="3"/>
        <v>58.410000000000004</v>
      </c>
      <c r="O17" s="72">
        <f t="shared" si="4"/>
        <v>98.64</v>
      </c>
      <c r="P17" s="274">
        <f t="shared" si="5"/>
        <v>5761.5624000000007</v>
      </c>
      <c r="R17" s="237">
        <f t="shared" si="6"/>
        <v>60.43</v>
      </c>
    </row>
    <row r="18" spans="2:20" s="121" customFormat="1" ht="16.5" customHeight="1" x14ac:dyDescent="0.2">
      <c r="B18" s="120"/>
      <c r="C18" s="56" t="s">
        <v>105</v>
      </c>
      <c r="D18" s="56" t="s">
        <v>96</v>
      </c>
      <c r="E18" s="57" t="s">
        <v>142</v>
      </c>
      <c r="F18" s="58" t="s">
        <v>143</v>
      </c>
      <c r="G18" s="59" t="s">
        <v>133</v>
      </c>
      <c r="H18" s="60">
        <v>2.2000000000000002</v>
      </c>
      <c r="I18" s="61">
        <v>170.98</v>
      </c>
      <c r="J18" s="60">
        <v>376.2</v>
      </c>
      <c r="K18" s="68">
        <f t="shared" si="0"/>
        <v>0.03</v>
      </c>
      <c r="L18" s="69">
        <f t="shared" si="1"/>
        <v>170.98</v>
      </c>
      <c r="M18" s="273">
        <f t="shared" si="2"/>
        <v>5.1293999999999995</v>
      </c>
      <c r="N18" s="71">
        <f t="shared" si="3"/>
        <v>2.23</v>
      </c>
      <c r="O18" s="72">
        <f t="shared" si="4"/>
        <v>170.98</v>
      </c>
      <c r="P18" s="274">
        <f t="shared" si="5"/>
        <v>381.28539999999998</v>
      </c>
      <c r="R18" s="237">
        <f t="shared" si="6"/>
        <v>2.31</v>
      </c>
    </row>
    <row r="19" spans="2:20" s="121" customFormat="1" ht="16.5" customHeight="1" x14ac:dyDescent="0.2">
      <c r="B19" s="120"/>
      <c r="C19" s="56" t="s">
        <v>109</v>
      </c>
      <c r="D19" s="56" t="s">
        <v>96</v>
      </c>
      <c r="E19" s="57" t="s">
        <v>145</v>
      </c>
      <c r="F19" s="58" t="s">
        <v>146</v>
      </c>
      <c r="G19" s="59" t="s">
        <v>133</v>
      </c>
      <c r="H19" s="60">
        <v>4.4000000000000004</v>
      </c>
      <c r="I19" s="61">
        <v>147.30000000000001</v>
      </c>
      <c r="J19" s="60">
        <v>648.1</v>
      </c>
      <c r="K19" s="68">
        <f t="shared" si="0"/>
        <v>0.06</v>
      </c>
      <c r="L19" s="69">
        <f t="shared" si="1"/>
        <v>147.30000000000001</v>
      </c>
      <c r="M19" s="273">
        <f t="shared" si="2"/>
        <v>8.838000000000001</v>
      </c>
      <c r="N19" s="71">
        <f t="shared" si="3"/>
        <v>4.46</v>
      </c>
      <c r="O19" s="72">
        <f t="shared" si="4"/>
        <v>147.30000000000001</v>
      </c>
      <c r="P19" s="274">
        <f t="shared" si="5"/>
        <v>656.95800000000008</v>
      </c>
      <c r="R19" s="237">
        <f t="shared" si="6"/>
        <v>4.62</v>
      </c>
    </row>
    <row r="20" spans="2:20" s="121" customFormat="1" ht="16.5" customHeight="1" x14ac:dyDescent="0.2">
      <c r="B20" s="120"/>
      <c r="C20" s="56" t="s">
        <v>112</v>
      </c>
      <c r="D20" s="56" t="s">
        <v>96</v>
      </c>
      <c r="E20" s="57" t="s">
        <v>155</v>
      </c>
      <c r="F20" s="58" t="s">
        <v>156</v>
      </c>
      <c r="G20" s="59" t="s">
        <v>150</v>
      </c>
      <c r="H20" s="60">
        <v>10.43</v>
      </c>
      <c r="I20" s="61">
        <v>257.77999999999997</v>
      </c>
      <c r="J20" s="60">
        <v>2688.6</v>
      </c>
      <c r="K20" s="68">
        <f t="shared" si="0"/>
        <v>0.15</v>
      </c>
      <c r="L20" s="69">
        <f t="shared" si="1"/>
        <v>257.77999999999997</v>
      </c>
      <c r="M20" s="273">
        <f t="shared" si="2"/>
        <v>38.666999999999994</v>
      </c>
      <c r="N20" s="71">
        <f t="shared" si="3"/>
        <v>10.58</v>
      </c>
      <c r="O20" s="72">
        <f t="shared" si="4"/>
        <v>257.77999999999997</v>
      </c>
      <c r="P20" s="274">
        <f t="shared" si="5"/>
        <v>2727.3123999999998</v>
      </c>
      <c r="R20" s="237">
        <f t="shared" si="6"/>
        <v>10.94</v>
      </c>
    </row>
    <row r="21" spans="2:20" s="121" customFormat="1" ht="16.5" customHeight="1" x14ac:dyDescent="0.2">
      <c r="B21" s="120"/>
      <c r="C21" s="56" t="s">
        <v>115</v>
      </c>
      <c r="D21" s="56" t="s">
        <v>96</v>
      </c>
      <c r="E21" s="57" t="s">
        <v>157</v>
      </c>
      <c r="F21" s="58" t="s">
        <v>158</v>
      </c>
      <c r="G21" s="59" t="s">
        <v>150</v>
      </c>
      <c r="H21" s="60">
        <v>52.37</v>
      </c>
      <c r="I21" s="61">
        <v>257.77999999999997</v>
      </c>
      <c r="J21" s="60">
        <v>13499.9</v>
      </c>
      <c r="K21" s="68">
        <f t="shared" si="0"/>
        <v>0.73</v>
      </c>
      <c r="L21" s="69">
        <f t="shared" si="1"/>
        <v>257.77999999999997</v>
      </c>
      <c r="M21" s="273">
        <f t="shared" si="2"/>
        <v>188.17939999999999</v>
      </c>
      <c r="N21" s="71">
        <f t="shared" si="3"/>
        <v>53.099999999999994</v>
      </c>
      <c r="O21" s="72">
        <f t="shared" si="4"/>
        <v>257.77999999999997</v>
      </c>
      <c r="P21" s="274">
        <f t="shared" si="5"/>
        <v>13688.117999999997</v>
      </c>
      <c r="R21" s="237">
        <f t="shared" si="6"/>
        <v>54.94</v>
      </c>
    </row>
    <row r="22" spans="2:20" s="121" customFormat="1" ht="16.5" customHeight="1" x14ac:dyDescent="0.2">
      <c r="B22" s="120"/>
      <c r="C22" s="56" t="s">
        <v>118</v>
      </c>
      <c r="D22" s="56" t="s">
        <v>96</v>
      </c>
      <c r="E22" s="57" t="s">
        <v>160</v>
      </c>
      <c r="F22" s="58" t="s">
        <v>161</v>
      </c>
      <c r="G22" s="59" t="s">
        <v>150</v>
      </c>
      <c r="H22" s="60">
        <v>15.71</v>
      </c>
      <c r="I22" s="61">
        <v>13.15</v>
      </c>
      <c r="J22" s="60">
        <v>206.6</v>
      </c>
      <c r="K22" s="68">
        <f t="shared" si="0"/>
        <v>0.22</v>
      </c>
      <c r="L22" s="69">
        <f t="shared" si="1"/>
        <v>13.15</v>
      </c>
      <c r="M22" s="273">
        <f t="shared" si="2"/>
        <v>2.8930000000000002</v>
      </c>
      <c r="N22" s="71">
        <f t="shared" si="3"/>
        <v>15.930000000000001</v>
      </c>
      <c r="O22" s="72">
        <f t="shared" si="4"/>
        <v>13.15</v>
      </c>
      <c r="P22" s="274">
        <f t="shared" si="5"/>
        <v>209.47950000000003</v>
      </c>
      <c r="R22" s="237">
        <f t="shared" si="6"/>
        <v>16.48</v>
      </c>
    </row>
    <row r="23" spans="2:20" s="121" customFormat="1" ht="16.5" customHeight="1" x14ac:dyDescent="0.2">
      <c r="B23" s="120"/>
      <c r="C23" s="56" t="s">
        <v>121</v>
      </c>
      <c r="D23" s="56" t="s">
        <v>96</v>
      </c>
      <c r="E23" s="57" t="s">
        <v>163</v>
      </c>
      <c r="F23" s="58" t="s">
        <v>164</v>
      </c>
      <c r="G23" s="59" t="s">
        <v>150</v>
      </c>
      <c r="H23" s="60">
        <v>32.65</v>
      </c>
      <c r="I23" s="61">
        <v>315.64999999999998</v>
      </c>
      <c r="J23" s="60">
        <v>10306</v>
      </c>
      <c r="K23" s="68">
        <f t="shared" si="0"/>
        <v>0.46</v>
      </c>
      <c r="L23" s="69">
        <f t="shared" si="1"/>
        <v>315.64999999999998</v>
      </c>
      <c r="M23" s="273">
        <f t="shared" si="2"/>
        <v>145.19899999999998</v>
      </c>
      <c r="N23" s="71">
        <f t="shared" si="3"/>
        <v>33.11</v>
      </c>
      <c r="O23" s="72">
        <f t="shared" si="4"/>
        <v>315.64999999999998</v>
      </c>
      <c r="P23" s="274">
        <f t="shared" si="5"/>
        <v>10451.171499999999</v>
      </c>
      <c r="R23" s="237">
        <f t="shared" si="6"/>
        <v>34.25</v>
      </c>
    </row>
    <row r="24" spans="2:20" s="121" customFormat="1" ht="16.5" customHeight="1" x14ac:dyDescent="0.2">
      <c r="B24" s="120"/>
      <c r="C24" s="56" t="s">
        <v>124</v>
      </c>
      <c r="D24" s="56" t="s">
        <v>96</v>
      </c>
      <c r="E24" s="57" t="s">
        <v>166</v>
      </c>
      <c r="F24" s="58" t="s">
        <v>167</v>
      </c>
      <c r="G24" s="59" t="s">
        <v>150</v>
      </c>
      <c r="H24" s="60">
        <v>9.8000000000000007</v>
      </c>
      <c r="I24" s="61">
        <v>15.78</v>
      </c>
      <c r="J24" s="60">
        <v>154.6</v>
      </c>
      <c r="K24" s="68">
        <f t="shared" si="0"/>
        <v>0.14000000000000001</v>
      </c>
      <c r="L24" s="69">
        <f t="shared" si="1"/>
        <v>15.78</v>
      </c>
      <c r="M24" s="273">
        <f t="shared" si="2"/>
        <v>2.2092000000000001</v>
      </c>
      <c r="N24" s="71">
        <f t="shared" si="3"/>
        <v>9.9400000000000013</v>
      </c>
      <c r="O24" s="72">
        <f t="shared" si="4"/>
        <v>15.78</v>
      </c>
      <c r="P24" s="274">
        <f t="shared" si="5"/>
        <v>156.85320000000002</v>
      </c>
      <c r="R24" s="237">
        <f t="shared" si="6"/>
        <v>10.28</v>
      </c>
    </row>
    <row r="25" spans="2:20" s="121" customFormat="1" ht="16.5" customHeight="1" x14ac:dyDescent="0.2">
      <c r="B25" s="120"/>
      <c r="C25" s="56" t="s">
        <v>127</v>
      </c>
      <c r="D25" s="56" t="s">
        <v>96</v>
      </c>
      <c r="E25" s="57" t="s">
        <v>169</v>
      </c>
      <c r="F25" s="58" t="s">
        <v>170</v>
      </c>
      <c r="G25" s="59" t="s">
        <v>150</v>
      </c>
      <c r="H25" s="60">
        <v>14.28</v>
      </c>
      <c r="I25" s="61">
        <v>837.79</v>
      </c>
      <c r="J25" s="60">
        <v>11963.6</v>
      </c>
      <c r="K25" s="68">
        <f t="shared" si="0"/>
        <v>0.2</v>
      </c>
      <c r="L25" s="69">
        <f t="shared" si="1"/>
        <v>837.79</v>
      </c>
      <c r="M25" s="273">
        <f t="shared" si="2"/>
        <v>167.55799999999999</v>
      </c>
      <c r="N25" s="71">
        <f t="shared" si="3"/>
        <v>14.479999999999999</v>
      </c>
      <c r="O25" s="72">
        <f t="shared" si="4"/>
        <v>837.79</v>
      </c>
      <c r="P25" s="274">
        <f t="shared" si="5"/>
        <v>12131.199199999999</v>
      </c>
      <c r="R25" s="237">
        <f t="shared" si="6"/>
        <v>14.98</v>
      </c>
    </row>
    <row r="26" spans="2:20" s="121" customFormat="1" ht="16.5" customHeight="1" x14ac:dyDescent="0.2">
      <c r="B26" s="120"/>
      <c r="C26" s="56" t="s">
        <v>130</v>
      </c>
      <c r="D26" s="56" t="s">
        <v>96</v>
      </c>
      <c r="E26" s="57" t="s">
        <v>172</v>
      </c>
      <c r="F26" s="58" t="s">
        <v>173</v>
      </c>
      <c r="G26" s="59" t="s">
        <v>150</v>
      </c>
      <c r="H26" s="60">
        <v>36.729999999999997</v>
      </c>
      <c r="I26" s="61">
        <v>1116.6199999999999</v>
      </c>
      <c r="J26" s="60">
        <v>41013.5</v>
      </c>
      <c r="K26" s="68">
        <f t="shared" si="0"/>
        <v>0.51</v>
      </c>
      <c r="L26" s="69">
        <f t="shared" si="1"/>
        <v>1116.6199999999999</v>
      </c>
      <c r="M26" s="273">
        <f t="shared" si="2"/>
        <v>569.47619999999995</v>
      </c>
      <c r="N26" s="71">
        <f t="shared" si="3"/>
        <v>37.239999999999995</v>
      </c>
      <c r="O26" s="72">
        <f t="shared" si="4"/>
        <v>1116.6199999999999</v>
      </c>
      <c r="P26" s="274">
        <f t="shared" si="5"/>
        <v>41582.928799999987</v>
      </c>
      <c r="R26" s="237">
        <f t="shared" si="6"/>
        <v>38.53</v>
      </c>
    </row>
    <row r="27" spans="2:20" s="121" customFormat="1" ht="16.5" customHeight="1" x14ac:dyDescent="0.2">
      <c r="B27" s="120"/>
      <c r="C27" s="56" t="s">
        <v>134</v>
      </c>
      <c r="D27" s="56" t="s">
        <v>96</v>
      </c>
      <c r="E27" s="57" t="s">
        <v>175</v>
      </c>
      <c r="F27" s="58" t="s">
        <v>176</v>
      </c>
      <c r="G27" s="59" t="s">
        <v>108</v>
      </c>
      <c r="H27" s="60">
        <v>264.39</v>
      </c>
      <c r="I27" s="61">
        <v>99.96</v>
      </c>
      <c r="J27" s="60">
        <v>26428.400000000001</v>
      </c>
      <c r="K27" s="68">
        <f t="shared" si="0"/>
        <v>3.71</v>
      </c>
      <c r="L27" s="69">
        <f t="shared" si="1"/>
        <v>99.96</v>
      </c>
      <c r="M27" s="273">
        <f t="shared" si="2"/>
        <v>370.85159999999996</v>
      </c>
      <c r="N27" s="71">
        <f t="shared" si="3"/>
        <v>268.09999999999997</v>
      </c>
      <c r="O27" s="72">
        <f t="shared" si="4"/>
        <v>99.96</v>
      </c>
      <c r="P27" s="274">
        <f t="shared" si="5"/>
        <v>26799.275999999994</v>
      </c>
      <c r="R27" s="237">
        <f t="shared" si="6"/>
        <v>277.36</v>
      </c>
    </row>
    <row r="28" spans="2:20" s="121" customFormat="1" ht="16.5" customHeight="1" x14ac:dyDescent="0.2">
      <c r="B28" s="120"/>
      <c r="C28" s="56" t="s">
        <v>2</v>
      </c>
      <c r="D28" s="56" t="s">
        <v>96</v>
      </c>
      <c r="E28" s="57" t="s">
        <v>181</v>
      </c>
      <c r="F28" s="58" t="s">
        <v>182</v>
      </c>
      <c r="G28" s="59" t="s">
        <v>108</v>
      </c>
      <c r="H28" s="60">
        <v>264.39</v>
      </c>
      <c r="I28" s="61">
        <v>149.94</v>
      </c>
      <c r="J28" s="60">
        <v>39642.6</v>
      </c>
      <c r="K28" s="68">
        <f t="shared" si="0"/>
        <v>3.71</v>
      </c>
      <c r="L28" s="69">
        <f t="shared" si="1"/>
        <v>149.94</v>
      </c>
      <c r="M28" s="273">
        <f t="shared" si="2"/>
        <v>556.27739999999994</v>
      </c>
      <c r="N28" s="71">
        <f t="shared" si="3"/>
        <v>268.09999999999997</v>
      </c>
      <c r="O28" s="72">
        <f t="shared" si="4"/>
        <v>149.94</v>
      </c>
      <c r="P28" s="274">
        <f t="shared" si="5"/>
        <v>40198.913999999997</v>
      </c>
      <c r="R28" s="237">
        <f t="shared" si="6"/>
        <v>277.36</v>
      </c>
    </row>
    <row r="29" spans="2:20" s="121" customFormat="1" ht="16.5" customHeight="1" x14ac:dyDescent="0.2">
      <c r="B29" s="120"/>
      <c r="C29" s="56" t="s">
        <v>141</v>
      </c>
      <c r="D29" s="56" t="s">
        <v>96</v>
      </c>
      <c r="E29" s="57" t="s">
        <v>187</v>
      </c>
      <c r="F29" s="58" t="s">
        <v>188</v>
      </c>
      <c r="G29" s="59" t="s">
        <v>150</v>
      </c>
      <c r="H29" s="60">
        <v>225.89</v>
      </c>
      <c r="I29" s="61">
        <v>98.02</v>
      </c>
      <c r="J29" s="60">
        <v>22141.7</v>
      </c>
      <c r="K29" s="68">
        <f t="shared" si="0"/>
        <v>3.17</v>
      </c>
      <c r="L29" s="69">
        <f t="shared" si="1"/>
        <v>98.02</v>
      </c>
      <c r="M29" s="273">
        <f t="shared" si="2"/>
        <v>310.72339999999997</v>
      </c>
      <c r="N29" s="71">
        <f t="shared" si="3"/>
        <v>229.05999999999997</v>
      </c>
      <c r="O29" s="72">
        <f t="shared" si="4"/>
        <v>98.02</v>
      </c>
      <c r="P29" s="274">
        <f t="shared" si="5"/>
        <v>22452.461199999998</v>
      </c>
      <c r="R29" s="237">
        <f t="shared" si="6"/>
        <v>236.97</v>
      </c>
    </row>
    <row r="30" spans="2:20" s="121" customFormat="1" ht="16.5" customHeight="1" x14ac:dyDescent="0.2">
      <c r="B30" s="120"/>
      <c r="C30" s="56" t="s">
        <v>144</v>
      </c>
      <c r="D30" s="56" t="s">
        <v>96</v>
      </c>
      <c r="E30" s="57" t="s">
        <v>190</v>
      </c>
      <c r="F30" s="58" t="s">
        <v>191</v>
      </c>
      <c r="G30" s="59" t="s">
        <v>150</v>
      </c>
      <c r="H30" s="60">
        <v>46.17</v>
      </c>
      <c r="I30" s="61">
        <v>247.39</v>
      </c>
      <c r="J30" s="60">
        <v>11422</v>
      </c>
      <c r="K30" s="68">
        <f t="shared" si="0"/>
        <v>0.65</v>
      </c>
      <c r="L30" s="69">
        <f t="shared" si="1"/>
        <v>247.39</v>
      </c>
      <c r="M30" s="273">
        <f t="shared" si="2"/>
        <v>160.80349999999999</v>
      </c>
      <c r="N30" s="71">
        <f t="shared" si="3"/>
        <v>46.82</v>
      </c>
      <c r="O30" s="72">
        <f t="shared" si="4"/>
        <v>247.39</v>
      </c>
      <c r="P30" s="274">
        <f t="shared" si="5"/>
        <v>11582.799799999999</v>
      </c>
      <c r="R30" s="237">
        <f t="shared" si="6"/>
        <v>48.43</v>
      </c>
      <c r="T30" s="190" t="s">
        <v>993</v>
      </c>
    </row>
    <row r="31" spans="2:20" s="121" customFormat="1" ht="16.5" customHeight="1" x14ac:dyDescent="0.2">
      <c r="B31" s="120"/>
      <c r="C31" s="56" t="s">
        <v>147</v>
      </c>
      <c r="D31" s="56" t="s">
        <v>96</v>
      </c>
      <c r="E31" s="57" t="s">
        <v>193</v>
      </c>
      <c r="F31" s="58" t="s">
        <v>194</v>
      </c>
      <c r="G31" s="59" t="s">
        <v>150</v>
      </c>
      <c r="H31" s="60">
        <v>46.17</v>
      </c>
      <c r="I31" s="61">
        <v>44.72</v>
      </c>
      <c r="J31" s="60">
        <v>2064.6999999999998</v>
      </c>
      <c r="K31" s="68">
        <f t="shared" si="0"/>
        <v>0.65</v>
      </c>
      <c r="L31" s="69">
        <f t="shared" si="1"/>
        <v>44.72</v>
      </c>
      <c r="M31" s="273">
        <f t="shared" si="2"/>
        <v>29.068000000000001</v>
      </c>
      <c r="N31" s="71">
        <f t="shared" si="3"/>
        <v>46.82</v>
      </c>
      <c r="O31" s="72">
        <f t="shared" si="4"/>
        <v>44.72</v>
      </c>
      <c r="P31" s="274">
        <f t="shared" si="5"/>
        <v>2093.7903999999999</v>
      </c>
      <c r="R31" s="237">
        <f t="shared" si="6"/>
        <v>48.43</v>
      </c>
      <c r="T31" s="190" t="s">
        <v>993</v>
      </c>
    </row>
    <row r="32" spans="2:20" s="121" customFormat="1" ht="16.5" customHeight="1" x14ac:dyDescent="0.2">
      <c r="B32" s="120"/>
      <c r="C32" s="56" t="s">
        <v>151</v>
      </c>
      <c r="D32" s="56" t="s">
        <v>96</v>
      </c>
      <c r="E32" s="57" t="s">
        <v>196</v>
      </c>
      <c r="F32" s="58" t="s">
        <v>197</v>
      </c>
      <c r="G32" s="59" t="s">
        <v>150</v>
      </c>
      <c r="H32" s="60">
        <v>46.17</v>
      </c>
      <c r="I32" s="61">
        <v>11.84</v>
      </c>
      <c r="J32" s="60">
        <v>546.70000000000005</v>
      </c>
      <c r="K32" s="68">
        <f t="shared" si="0"/>
        <v>0.65</v>
      </c>
      <c r="L32" s="69">
        <f t="shared" si="1"/>
        <v>11.84</v>
      </c>
      <c r="M32" s="273">
        <f t="shared" si="2"/>
        <v>7.6959999999999997</v>
      </c>
      <c r="N32" s="71">
        <f t="shared" si="3"/>
        <v>46.82</v>
      </c>
      <c r="O32" s="72">
        <f t="shared" si="4"/>
        <v>11.84</v>
      </c>
      <c r="P32" s="274">
        <f t="shared" si="5"/>
        <v>554.34879999999998</v>
      </c>
      <c r="R32" s="237">
        <f t="shared" si="6"/>
        <v>48.43</v>
      </c>
      <c r="T32" s="190" t="s">
        <v>993</v>
      </c>
    </row>
    <row r="33" spans="2:18" s="121" customFormat="1" ht="16.5" customHeight="1" x14ac:dyDescent="0.2">
      <c r="B33" s="120"/>
      <c r="C33" s="56" t="s">
        <v>154</v>
      </c>
      <c r="D33" s="56" t="s">
        <v>96</v>
      </c>
      <c r="E33" s="57" t="s">
        <v>199</v>
      </c>
      <c r="F33" s="58" t="s">
        <v>200</v>
      </c>
      <c r="G33" s="59" t="s">
        <v>201</v>
      </c>
      <c r="H33" s="60">
        <v>92.34</v>
      </c>
      <c r="I33" s="61">
        <v>116</v>
      </c>
      <c r="J33" s="60">
        <v>10711.4</v>
      </c>
      <c r="K33" s="68">
        <f t="shared" si="0"/>
        <v>1.29</v>
      </c>
      <c r="L33" s="69">
        <f t="shared" si="1"/>
        <v>116</v>
      </c>
      <c r="M33" s="273">
        <f t="shared" si="2"/>
        <v>149.64000000000001</v>
      </c>
      <c r="N33" s="71">
        <f t="shared" si="3"/>
        <v>93.63000000000001</v>
      </c>
      <c r="O33" s="72">
        <f t="shared" si="4"/>
        <v>116</v>
      </c>
      <c r="P33" s="274">
        <f t="shared" si="5"/>
        <v>10861.080000000002</v>
      </c>
      <c r="R33" s="237">
        <f t="shared" si="6"/>
        <v>96.87</v>
      </c>
    </row>
    <row r="34" spans="2:18" s="121" customFormat="1" ht="16.5" customHeight="1" x14ac:dyDescent="0.2">
      <c r="B34" s="120"/>
      <c r="C34" s="56" t="s">
        <v>1</v>
      </c>
      <c r="D34" s="56" t="s">
        <v>96</v>
      </c>
      <c r="E34" s="57" t="s">
        <v>203</v>
      </c>
      <c r="F34" s="58" t="s">
        <v>204</v>
      </c>
      <c r="G34" s="59" t="s">
        <v>150</v>
      </c>
      <c r="H34" s="60">
        <v>89.86</v>
      </c>
      <c r="I34" s="61">
        <v>143.36000000000001</v>
      </c>
      <c r="J34" s="60">
        <v>12882.3</v>
      </c>
      <c r="K34" s="68">
        <f t="shared" si="0"/>
        <v>1.26</v>
      </c>
      <c r="L34" s="69">
        <f t="shared" si="1"/>
        <v>143.36000000000001</v>
      </c>
      <c r="M34" s="273">
        <f t="shared" si="2"/>
        <v>180.63360000000003</v>
      </c>
      <c r="N34" s="71">
        <f t="shared" si="3"/>
        <v>91.12</v>
      </c>
      <c r="O34" s="72">
        <f t="shared" si="4"/>
        <v>143.36000000000001</v>
      </c>
      <c r="P34" s="274">
        <f t="shared" si="5"/>
        <v>13062.963200000002</v>
      </c>
      <c r="R34" s="237">
        <f t="shared" si="6"/>
        <v>94.27</v>
      </c>
    </row>
    <row r="35" spans="2:18" s="121" customFormat="1" ht="16.5" customHeight="1" x14ac:dyDescent="0.2">
      <c r="B35" s="120"/>
      <c r="C35" s="56" t="s">
        <v>159</v>
      </c>
      <c r="D35" s="56" t="s">
        <v>96</v>
      </c>
      <c r="E35" s="57" t="s">
        <v>206</v>
      </c>
      <c r="F35" s="58" t="s">
        <v>207</v>
      </c>
      <c r="G35" s="59" t="s">
        <v>150</v>
      </c>
      <c r="H35" s="60">
        <v>29.88</v>
      </c>
      <c r="I35" s="61">
        <v>318.27999999999997</v>
      </c>
      <c r="J35" s="60">
        <v>9510.2000000000007</v>
      </c>
      <c r="K35" s="68">
        <f t="shared" si="0"/>
        <v>0.42</v>
      </c>
      <c r="L35" s="69">
        <f t="shared" si="1"/>
        <v>318.27999999999997</v>
      </c>
      <c r="M35" s="273">
        <f t="shared" si="2"/>
        <v>133.67759999999998</v>
      </c>
      <c r="N35" s="71">
        <f t="shared" si="3"/>
        <v>30.3</v>
      </c>
      <c r="O35" s="72">
        <f t="shared" si="4"/>
        <v>318.27999999999997</v>
      </c>
      <c r="P35" s="274">
        <f t="shared" si="5"/>
        <v>9643.884</v>
      </c>
      <c r="R35" s="237">
        <f t="shared" si="6"/>
        <v>31.35</v>
      </c>
    </row>
    <row r="36" spans="2:18" s="121" customFormat="1" ht="16.5" customHeight="1" x14ac:dyDescent="0.2">
      <c r="B36" s="120"/>
      <c r="C36" s="73" t="s">
        <v>162</v>
      </c>
      <c r="D36" s="73" t="s">
        <v>209</v>
      </c>
      <c r="E36" s="74" t="s">
        <v>210</v>
      </c>
      <c r="F36" s="75" t="s">
        <v>211</v>
      </c>
      <c r="G36" s="76" t="s">
        <v>201</v>
      </c>
      <c r="H36" s="77">
        <v>59.76</v>
      </c>
      <c r="I36" s="78">
        <v>172.71</v>
      </c>
      <c r="J36" s="77">
        <v>10321.1</v>
      </c>
      <c r="K36" s="68">
        <f t="shared" si="0"/>
        <v>0.84</v>
      </c>
      <c r="L36" s="69">
        <f t="shared" si="1"/>
        <v>172.71</v>
      </c>
      <c r="M36" s="273">
        <f t="shared" si="2"/>
        <v>145.07640000000001</v>
      </c>
      <c r="N36" s="71">
        <f t="shared" si="3"/>
        <v>60.6</v>
      </c>
      <c r="O36" s="72">
        <f t="shared" si="4"/>
        <v>172.71</v>
      </c>
      <c r="P36" s="274">
        <f t="shared" si="5"/>
        <v>10466.226000000001</v>
      </c>
      <c r="R36" s="237">
        <f t="shared" si="6"/>
        <v>62.69</v>
      </c>
    </row>
    <row r="37" spans="2:18" s="170" customFormat="1" ht="22.9" customHeight="1" x14ac:dyDescent="0.2">
      <c r="B37" s="165"/>
      <c r="C37" s="252"/>
      <c r="D37" s="253" t="s">
        <v>4</v>
      </c>
      <c r="E37" s="254" t="s">
        <v>13</v>
      </c>
      <c r="F37" s="254" t="s">
        <v>222</v>
      </c>
      <c r="G37" s="252"/>
      <c r="H37" s="252"/>
      <c r="I37" s="255"/>
      <c r="J37" s="256">
        <f>+SUBTOTAL(9,J38:J39)</f>
        <v>1971.1000000000001</v>
      </c>
      <c r="K37" s="261"/>
      <c r="L37" s="262"/>
      <c r="M37" s="279">
        <f>SUM(M38:M39)</f>
        <v>27.622</v>
      </c>
      <c r="N37" s="280"/>
      <c r="O37" s="262"/>
      <c r="P37" s="279">
        <f>SUM(P38:P39)</f>
        <v>1998.6490000000003</v>
      </c>
      <c r="R37" s="237">
        <f t="shared" si="6"/>
        <v>0</v>
      </c>
    </row>
    <row r="38" spans="2:18" s="121" customFormat="1" ht="16.5" customHeight="1" x14ac:dyDescent="0.2">
      <c r="B38" s="120"/>
      <c r="C38" s="56" t="s">
        <v>165</v>
      </c>
      <c r="D38" s="56" t="s">
        <v>96</v>
      </c>
      <c r="E38" s="57" t="s">
        <v>224</v>
      </c>
      <c r="F38" s="58" t="s">
        <v>225</v>
      </c>
      <c r="G38" s="59" t="s">
        <v>133</v>
      </c>
      <c r="H38" s="60">
        <v>49.95</v>
      </c>
      <c r="I38" s="61">
        <v>32.880000000000003</v>
      </c>
      <c r="J38" s="60">
        <v>1642.4</v>
      </c>
      <c r="K38" s="68">
        <f t="shared" si="0"/>
        <v>0.7</v>
      </c>
      <c r="L38" s="69">
        <f t="shared" si="1"/>
        <v>32.880000000000003</v>
      </c>
      <c r="M38" s="273">
        <f t="shared" si="2"/>
        <v>23.016000000000002</v>
      </c>
      <c r="N38" s="71">
        <f t="shared" si="3"/>
        <v>50.650000000000006</v>
      </c>
      <c r="O38" s="72">
        <f t="shared" si="4"/>
        <v>32.880000000000003</v>
      </c>
      <c r="P38" s="274">
        <f t="shared" si="5"/>
        <v>1665.3720000000003</v>
      </c>
      <c r="R38" s="237">
        <f t="shared" si="6"/>
        <v>52.4</v>
      </c>
    </row>
    <row r="39" spans="2:18" s="121" customFormat="1" ht="16.5" customHeight="1" x14ac:dyDescent="0.2">
      <c r="B39" s="120"/>
      <c r="C39" s="56" t="s">
        <v>168</v>
      </c>
      <c r="D39" s="56" t="s">
        <v>96</v>
      </c>
      <c r="E39" s="57" t="s">
        <v>227</v>
      </c>
      <c r="F39" s="58" t="s">
        <v>228</v>
      </c>
      <c r="G39" s="59" t="s">
        <v>133</v>
      </c>
      <c r="H39" s="60">
        <v>49.95</v>
      </c>
      <c r="I39" s="61">
        <v>6.58</v>
      </c>
      <c r="J39" s="60">
        <v>328.7</v>
      </c>
      <c r="K39" s="68">
        <f t="shared" si="0"/>
        <v>0.7</v>
      </c>
      <c r="L39" s="69">
        <f t="shared" si="1"/>
        <v>6.58</v>
      </c>
      <c r="M39" s="273">
        <f t="shared" si="2"/>
        <v>4.6059999999999999</v>
      </c>
      <c r="N39" s="71">
        <f t="shared" si="3"/>
        <v>50.650000000000006</v>
      </c>
      <c r="O39" s="72">
        <f t="shared" si="4"/>
        <v>6.58</v>
      </c>
      <c r="P39" s="274">
        <f t="shared" si="5"/>
        <v>333.27700000000004</v>
      </c>
      <c r="R39" s="237">
        <f t="shared" si="6"/>
        <v>52.4</v>
      </c>
    </row>
    <row r="40" spans="2:18" s="170" customFormat="1" ht="22.9" customHeight="1" x14ac:dyDescent="0.2">
      <c r="B40" s="165"/>
      <c r="C40" s="252"/>
      <c r="D40" s="253" t="s">
        <v>4</v>
      </c>
      <c r="E40" s="254" t="s">
        <v>100</v>
      </c>
      <c r="F40" s="254" t="s">
        <v>229</v>
      </c>
      <c r="G40" s="252"/>
      <c r="H40" s="252"/>
      <c r="I40" s="255"/>
      <c r="J40" s="256">
        <f>+SUBTOTAL(9,J41:J46)</f>
        <v>25466.5</v>
      </c>
      <c r="K40" s="261"/>
      <c r="L40" s="262"/>
      <c r="M40" s="279">
        <f>SUM(M41:M46)</f>
        <v>355.79730000000001</v>
      </c>
      <c r="N40" s="280"/>
      <c r="O40" s="262"/>
      <c r="P40" s="279">
        <f>SUM(P41:P46)</f>
        <v>25822.273599999997</v>
      </c>
      <c r="R40" s="237">
        <f t="shared" si="6"/>
        <v>0</v>
      </c>
    </row>
    <row r="41" spans="2:18" s="121" customFormat="1" ht="16.5" customHeight="1" x14ac:dyDescent="0.2">
      <c r="B41" s="120"/>
      <c r="C41" s="56" t="s">
        <v>171</v>
      </c>
      <c r="D41" s="56" t="s">
        <v>96</v>
      </c>
      <c r="E41" s="57" t="s">
        <v>231</v>
      </c>
      <c r="F41" s="58" t="s">
        <v>232</v>
      </c>
      <c r="G41" s="59" t="s">
        <v>99</v>
      </c>
      <c r="H41" s="60">
        <v>1</v>
      </c>
      <c r="I41" s="61">
        <v>122.32</v>
      </c>
      <c r="J41" s="60">
        <v>122.3</v>
      </c>
      <c r="K41" s="68">
        <v>0</v>
      </c>
      <c r="L41" s="69">
        <f t="shared" si="1"/>
        <v>122.32</v>
      </c>
      <c r="M41" s="273">
        <f t="shared" si="2"/>
        <v>0</v>
      </c>
      <c r="N41" s="71">
        <f t="shared" si="3"/>
        <v>1</v>
      </c>
      <c r="O41" s="72">
        <f t="shared" si="4"/>
        <v>122.32</v>
      </c>
      <c r="P41" s="274">
        <f t="shared" si="5"/>
        <v>122.32</v>
      </c>
      <c r="R41" s="237">
        <f t="shared" si="6"/>
        <v>1.05</v>
      </c>
    </row>
    <row r="42" spans="2:18" s="121" customFormat="1" ht="16.5" customHeight="1" x14ac:dyDescent="0.2">
      <c r="B42" s="120"/>
      <c r="C42" s="73" t="s">
        <v>174</v>
      </c>
      <c r="D42" s="73" t="s">
        <v>209</v>
      </c>
      <c r="E42" s="74" t="s">
        <v>240</v>
      </c>
      <c r="F42" s="75" t="s">
        <v>241</v>
      </c>
      <c r="G42" s="76" t="s">
        <v>99</v>
      </c>
      <c r="H42" s="77">
        <v>1</v>
      </c>
      <c r="I42" s="78">
        <v>270.94</v>
      </c>
      <c r="J42" s="77">
        <v>270.89999999999998</v>
      </c>
      <c r="K42" s="68">
        <v>0</v>
      </c>
      <c r="L42" s="69">
        <f t="shared" si="1"/>
        <v>270.94</v>
      </c>
      <c r="M42" s="273">
        <f t="shared" si="2"/>
        <v>0</v>
      </c>
      <c r="N42" s="71">
        <f t="shared" si="3"/>
        <v>1</v>
      </c>
      <c r="O42" s="72">
        <f t="shared" si="4"/>
        <v>270.94</v>
      </c>
      <c r="P42" s="274">
        <f t="shared" si="5"/>
        <v>270.94</v>
      </c>
      <c r="R42" s="237">
        <f t="shared" si="6"/>
        <v>1.05</v>
      </c>
    </row>
    <row r="43" spans="2:18" s="121" customFormat="1" ht="16.5" customHeight="1" x14ac:dyDescent="0.2">
      <c r="B43" s="120"/>
      <c r="C43" s="56" t="s">
        <v>177</v>
      </c>
      <c r="D43" s="56" t="s">
        <v>96</v>
      </c>
      <c r="E43" s="57" t="s">
        <v>246</v>
      </c>
      <c r="F43" s="58" t="s">
        <v>247</v>
      </c>
      <c r="G43" s="59" t="s">
        <v>99</v>
      </c>
      <c r="H43" s="60">
        <v>1</v>
      </c>
      <c r="I43" s="61">
        <v>152.57</v>
      </c>
      <c r="J43" s="60">
        <v>152.6</v>
      </c>
      <c r="K43" s="68">
        <v>0</v>
      </c>
      <c r="L43" s="69">
        <f t="shared" si="1"/>
        <v>152.57</v>
      </c>
      <c r="M43" s="273">
        <f t="shared" si="2"/>
        <v>0</v>
      </c>
      <c r="N43" s="71">
        <f t="shared" si="3"/>
        <v>1</v>
      </c>
      <c r="O43" s="72">
        <f t="shared" si="4"/>
        <v>152.57</v>
      </c>
      <c r="P43" s="274">
        <f t="shared" si="5"/>
        <v>152.57</v>
      </c>
      <c r="R43" s="237">
        <f t="shared" si="6"/>
        <v>1.05</v>
      </c>
    </row>
    <row r="44" spans="2:18" s="121" customFormat="1" ht="16.5" customHeight="1" x14ac:dyDescent="0.2">
      <c r="B44" s="120"/>
      <c r="C44" s="73" t="s">
        <v>180</v>
      </c>
      <c r="D44" s="73" t="s">
        <v>209</v>
      </c>
      <c r="E44" s="74" t="s">
        <v>249</v>
      </c>
      <c r="F44" s="75" t="s">
        <v>250</v>
      </c>
      <c r="G44" s="76" t="s">
        <v>99</v>
      </c>
      <c r="H44" s="77">
        <v>1</v>
      </c>
      <c r="I44" s="78">
        <v>395.88</v>
      </c>
      <c r="J44" s="77">
        <v>395.9</v>
      </c>
      <c r="K44" s="68">
        <v>0</v>
      </c>
      <c r="L44" s="69">
        <f t="shared" si="1"/>
        <v>395.88</v>
      </c>
      <c r="M44" s="273">
        <f t="shared" si="2"/>
        <v>0</v>
      </c>
      <c r="N44" s="71">
        <f t="shared" si="3"/>
        <v>1</v>
      </c>
      <c r="O44" s="72">
        <f t="shared" si="4"/>
        <v>395.88</v>
      </c>
      <c r="P44" s="274">
        <f t="shared" si="5"/>
        <v>395.88</v>
      </c>
      <c r="R44" s="237">
        <f t="shared" si="6"/>
        <v>1.05</v>
      </c>
    </row>
    <row r="45" spans="2:18" s="121" customFormat="1" ht="16.5" customHeight="1" x14ac:dyDescent="0.2">
      <c r="B45" s="120"/>
      <c r="C45" s="56" t="s">
        <v>183</v>
      </c>
      <c r="D45" s="56" t="s">
        <v>96</v>
      </c>
      <c r="E45" s="57" t="s">
        <v>252</v>
      </c>
      <c r="F45" s="58" t="s">
        <v>253</v>
      </c>
      <c r="G45" s="59" t="s">
        <v>150</v>
      </c>
      <c r="H45" s="60">
        <v>7.03</v>
      </c>
      <c r="I45" s="61">
        <v>3239.16</v>
      </c>
      <c r="J45" s="60">
        <v>22771.3</v>
      </c>
      <c r="K45" s="68">
        <f t="shared" ref="K45:K46" si="7">ROUND(53.1/52.4*R45-R45,2)</f>
        <v>0.1</v>
      </c>
      <c r="L45" s="69">
        <f t="shared" si="1"/>
        <v>3239.16</v>
      </c>
      <c r="M45" s="273">
        <f t="shared" si="2"/>
        <v>323.916</v>
      </c>
      <c r="N45" s="71">
        <f t="shared" si="3"/>
        <v>7.13</v>
      </c>
      <c r="O45" s="72">
        <f t="shared" si="4"/>
        <v>3239.16</v>
      </c>
      <c r="P45" s="274">
        <f t="shared" si="5"/>
        <v>23095.210799999997</v>
      </c>
      <c r="R45" s="237">
        <f t="shared" si="6"/>
        <v>7.37</v>
      </c>
    </row>
    <row r="46" spans="2:18" s="121" customFormat="1" ht="16.5" customHeight="1" x14ac:dyDescent="0.2">
      <c r="B46" s="120"/>
      <c r="C46" s="56" t="s">
        <v>186</v>
      </c>
      <c r="D46" s="56" t="s">
        <v>96</v>
      </c>
      <c r="E46" s="57" t="s">
        <v>255</v>
      </c>
      <c r="F46" s="58" t="s">
        <v>256</v>
      </c>
      <c r="G46" s="59" t="s">
        <v>150</v>
      </c>
      <c r="H46" s="60">
        <v>0.55000000000000004</v>
      </c>
      <c r="I46" s="61">
        <v>3188.13</v>
      </c>
      <c r="J46" s="60">
        <v>1753.5</v>
      </c>
      <c r="K46" s="68">
        <f t="shared" si="7"/>
        <v>0.01</v>
      </c>
      <c r="L46" s="69">
        <f t="shared" si="1"/>
        <v>3188.13</v>
      </c>
      <c r="M46" s="273">
        <f t="shared" si="2"/>
        <v>31.881300000000003</v>
      </c>
      <c r="N46" s="71">
        <f t="shared" si="3"/>
        <v>0.56000000000000005</v>
      </c>
      <c r="O46" s="72">
        <f t="shared" si="4"/>
        <v>3188.13</v>
      </c>
      <c r="P46" s="274">
        <f t="shared" si="5"/>
        <v>1785.3528000000003</v>
      </c>
      <c r="R46" s="237">
        <f t="shared" si="6"/>
        <v>0.57999999999999996</v>
      </c>
    </row>
    <row r="47" spans="2:18" s="170" customFormat="1" ht="22.9" customHeight="1" x14ac:dyDescent="0.2">
      <c r="B47" s="165"/>
      <c r="C47" s="252"/>
      <c r="D47" s="253" t="s">
        <v>4</v>
      </c>
      <c r="E47" s="254" t="s">
        <v>105</v>
      </c>
      <c r="F47" s="254" t="s">
        <v>257</v>
      </c>
      <c r="G47" s="252"/>
      <c r="H47" s="252"/>
      <c r="I47" s="255"/>
      <c r="J47" s="256">
        <f>+SUBTOTAL(9,J48:J52)</f>
        <v>96360.5</v>
      </c>
      <c r="K47" s="261"/>
      <c r="L47" s="262"/>
      <c r="M47" s="279">
        <f>SUM(M48:M52)</f>
        <v>0</v>
      </c>
      <c r="N47" s="280"/>
      <c r="O47" s="262"/>
      <c r="P47" s="279">
        <f>SUM(P48:P52)</f>
        <v>96360.454799999992</v>
      </c>
      <c r="R47" s="237">
        <f t="shared" si="6"/>
        <v>0</v>
      </c>
    </row>
    <row r="48" spans="2:18" s="121" customFormat="1" ht="16.5" customHeight="1" x14ac:dyDescent="0.2">
      <c r="B48" s="120"/>
      <c r="C48" s="56" t="s">
        <v>189</v>
      </c>
      <c r="D48" s="56" t="s">
        <v>96</v>
      </c>
      <c r="E48" s="57" t="s">
        <v>262</v>
      </c>
      <c r="F48" s="58" t="s">
        <v>263</v>
      </c>
      <c r="G48" s="59" t="s">
        <v>108</v>
      </c>
      <c r="H48" s="60">
        <v>57.6</v>
      </c>
      <c r="I48" s="61">
        <v>302.54000000000002</v>
      </c>
      <c r="J48" s="60">
        <v>17426.3</v>
      </c>
      <c r="K48" s="68">
        <v>0</v>
      </c>
      <c r="L48" s="69">
        <f t="shared" si="1"/>
        <v>302.54000000000002</v>
      </c>
      <c r="M48" s="273">
        <f t="shared" si="2"/>
        <v>0</v>
      </c>
      <c r="N48" s="71">
        <f t="shared" si="3"/>
        <v>57.6</v>
      </c>
      <c r="O48" s="72">
        <f t="shared" si="4"/>
        <v>302.54000000000002</v>
      </c>
      <c r="P48" s="274">
        <f t="shared" si="5"/>
        <v>17426.304</v>
      </c>
      <c r="R48" s="237">
        <f t="shared" si="6"/>
        <v>60.43</v>
      </c>
    </row>
    <row r="49" spans="2:18" s="121" customFormat="1" ht="16.5" customHeight="1" x14ac:dyDescent="0.2">
      <c r="B49" s="120"/>
      <c r="C49" s="56" t="s">
        <v>192</v>
      </c>
      <c r="D49" s="56" t="s">
        <v>96</v>
      </c>
      <c r="E49" s="57" t="s">
        <v>268</v>
      </c>
      <c r="F49" s="58" t="s">
        <v>269</v>
      </c>
      <c r="G49" s="59" t="s">
        <v>108</v>
      </c>
      <c r="H49" s="60">
        <v>57.6</v>
      </c>
      <c r="I49" s="61">
        <v>14.18</v>
      </c>
      <c r="J49" s="60">
        <v>816.8</v>
      </c>
      <c r="K49" s="68">
        <v>0</v>
      </c>
      <c r="L49" s="69">
        <f t="shared" si="1"/>
        <v>14.18</v>
      </c>
      <c r="M49" s="273">
        <f t="shared" si="2"/>
        <v>0</v>
      </c>
      <c r="N49" s="71">
        <f t="shared" si="3"/>
        <v>57.6</v>
      </c>
      <c r="O49" s="72">
        <f t="shared" si="4"/>
        <v>14.18</v>
      </c>
      <c r="P49" s="274">
        <f t="shared" si="5"/>
        <v>816.76800000000003</v>
      </c>
      <c r="R49" s="237">
        <f t="shared" si="6"/>
        <v>60.43</v>
      </c>
    </row>
    <row r="50" spans="2:18" s="121" customFormat="1" ht="16.5" customHeight="1" x14ac:dyDescent="0.2">
      <c r="B50" s="120"/>
      <c r="C50" s="56" t="s">
        <v>195</v>
      </c>
      <c r="D50" s="56" t="s">
        <v>96</v>
      </c>
      <c r="E50" s="57" t="s">
        <v>271</v>
      </c>
      <c r="F50" s="58" t="s">
        <v>272</v>
      </c>
      <c r="G50" s="59" t="s">
        <v>108</v>
      </c>
      <c r="H50" s="60">
        <v>109.96</v>
      </c>
      <c r="I50" s="61">
        <v>20.62</v>
      </c>
      <c r="J50" s="60">
        <v>2267.4</v>
      </c>
      <c r="K50" s="68">
        <v>0</v>
      </c>
      <c r="L50" s="69">
        <f t="shared" si="1"/>
        <v>20.62</v>
      </c>
      <c r="M50" s="273">
        <f t="shared" si="2"/>
        <v>0</v>
      </c>
      <c r="N50" s="71">
        <f t="shared" si="3"/>
        <v>109.96</v>
      </c>
      <c r="O50" s="72">
        <f t="shared" si="4"/>
        <v>20.62</v>
      </c>
      <c r="P50" s="274">
        <f t="shared" si="5"/>
        <v>2267.3751999999999</v>
      </c>
      <c r="R50" s="237">
        <f t="shared" si="6"/>
        <v>115.35</v>
      </c>
    </row>
    <row r="51" spans="2:18" s="121" customFormat="1" ht="16.5" customHeight="1" x14ac:dyDescent="0.2">
      <c r="B51" s="120"/>
      <c r="C51" s="56" t="s">
        <v>198</v>
      </c>
      <c r="D51" s="56" t="s">
        <v>96</v>
      </c>
      <c r="E51" s="57" t="s">
        <v>274</v>
      </c>
      <c r="F51" s="58" t="s">
        <v>275</v>
      </c>
      <c r="G51" s="59" t="s">
        <v>108</v>
      </c>
      <c r="H51" s="60">
        <v>109.96</v>
      </c>
      <c r="I51" s="61">
        <v>396.71</v>
      </c>
      <c r="J51" s="60">
        <v>43622.2</v>
      </c>
      <c r="K51" s="68">
        <v>0</v>
      </c>
      <c r="L51" s="69">
        <f t="shared" si="1"/>
        <v>396.71</v>
      </c>
      <c r="M51" s="273">
        <f t="shared" si="2"/>
        <v>0</v>
      </c>
      <c r="N51" s="71">
        <f t="shared" si="3"/>
        <v>109.96</v>
      </c>
      <c r="O51" s="72">
        <f t="shared" si="4"/>
        <v>396.71</v>
      </c>
      <c r="P51" s="274">
        <f t="shared" si="5"/>
        <v>43622.231599999992</v>
      </c>
      <c r="R51" s="237">
        <f t="shared" si="6"/>
        <v>115.35</v>
      </c>
    </row>
    <row r="52" spans="2:18" s="121" customFormat="1" ht="16.5" customHeight="1" x14ac:dyDescent="0.2">
      <c r="B52" s="120"/>
      <c r="C52" s="56" t="s">
        <v>202</v>
      </c>
      <c r="D52" s="56" t="s">
        <v>96</v>
      </c>
      <c r="E52" s="57" t="s">
        <v>277</v>
      </c>
      <c r="F52" s="58" t="s">
        <v>278</v>
      </c>
      <c r="G52" s="59" t="s">
        <v>108</v>
      </c>
      <c r="H52" s="60">
        <v>57.6</v>
      </c>
      <c r="I52" s="61">
        <v>559.51</v>
      </c>
      <c r="J52" s="60">
        <v>32227.8</v>
      </c>
      <c r="K52" s="68">
        <v>0</v>
      </c>
      <c r="L52" s="69">
        <f t="shared" si="1"/>
        <v>559.51</v>
      </c>
      <c r="M52" s="273">
        <f t="shared" si="2"/>
        <v>0</v>
      </c>
      <c r="N52" s="71">
        <f t="shared" si="3"/>
        <v>57.6</v>
      </c>
      <c r="O52" s="72">
        <f t="shared" si="4"/>
        <v>559.51</v>
      </c>
      <c r="P52" s="274">
        <f t="shared" si="5"/>
        <v>32227.776000000002</v>
      </c>
      <c r="R52" s="237">
        <f t="shared" si="6"/>
        <v>60.43</v>
      </c>
    </row>
    <row r="53" spans="2:18" s="170" customFormat="1" ht="22.9" customHeight="1" x14ac:dyDescent="0.2">
      <c r="B53" s="165"/>
      <c r="C53" s="252"/>
      <c r="D53" s="253" t="s">
        <v>4</v>
      </c>
      <c r="E53" s="254" t="s">
        <v>115</v>
      </c>
      <c r="F53" s="254" t="s">
        <v>288</v>
      </c>
      <c r="G53" s="252"/>
      <c r="H53" s="252"/>
      <c r="I53" s="255"/>
      <c r="J53" s="256">
        <f>+SUBTOTAL(9,J54:J73)</f>
        <v>155597.39999999997</v>
      </c>
      <c r="K53" s="261"/>
      <c r="L53" s="262"/>
      <c r="M53" s="279">
        <f>SUM(M54:M73)</f>
        <v>1182.7689999999996</v>
      </c>
      <c r="N53" s="280"/>
      <c r="O53" s="262"/>
      <c r="P53" s="279">
        <f>SUM(P54:P73)</f>
        <v>156780.31100000002</v>
      </c>
      <c r="R53" s="237">
        <f t="shared" si="6"/>
        <v>0</v>
      </c>
    </row>
    <row r="54" spans="2:18" s="121" customFormat="1" ht="16.5" customHeight="1" x14ac:dyDescent="0.2">
      <c r="B54" s="120"/>
      <c r="C54" s="56" t="s">
        <v>205</v>
      </c>
      <c r="D54" s="56" t="s">
        <v>96</v>
      </c>
      <c r="E54" s="57" t="s">
        <v>296</v>
      </c>
      <c r="F54" s="58" t="s">
        <v>297</v>
      </c>
      <c r="G54" s="59" t="s">
        <v>133</v>
      </c>
      <c r="H54" s="60">
        <v>49.95</v>
      </c>
      <c r="I54" s="61">
        <v>552.39</v>
      </c>
      <c r="J54" s="60">
        <v>27591.9</v>
      </c>
      <c r="K54" s="68">
        <f t="shared" ref="K54:K55" si="8">ROUND(53.1/52.4*R54-R54,2)</f>
        <v>0.7</v>
      </c>
      <c r="L54" s="69">
        <f t="shared" si="1"/>
        <v>552.39</v>
      </c>
      <c r="M54" s="273">
        <f t="shared" si="2"/>
        <v>386.67299999999994</v>
      </c>
      <c r="N54" s="71">
        <f t="shared" si="3"/>
        <v>50.650000000000006</v>
      </c>
      <c r="O54" s="72">
        <f t="shared" si="4"/>
        <v>552.39</v>
      </c>
      <c r="P54" s="274">
        <f t="shared" si="5"/>
        <v>27978.553500000002</v>
      </c>
      <c r="R54" s="237">
        <f t="shared" si="6"/>
        <v>52.4</v>
      </c>
    </row>
    <row r="55" spans="2:18" s="121" customFormat="1" ht="16.5" customHeight="1" x14ac:dyDescent="0.2">
      <c r="B55" s="120"/>
      <c r="C55" s="73" t="s">
        <v>208</v>
      </c>
      <c r="D55" s="73" t="s">
        <v>209</v>
      </c>
      <c r="E55" s="74" t="s">
        <v>299</v>
      </c>
      <c r="F55" s="75" t="s">
        <v>300</v>
      </c>
      <c r="G55" s="76" t="s">
        <v>133</v>
      </c>
      <c r="H55" s="77">
        <v>49.95</v>
      </c>
      <c r="I55" s="78">
        <v>1060.07</v>
      </c>
      <c r="J55" s="77">
        <v>52950.5</v>
      </c>
      <c r="K55" s="68">
        <f t="shared" si="8"/>
        <v>0.7</v>
      </c>
      <c r="L55" s="69">
        <f t="shared" si="1"/>
        <v>1060.07</v>
      </c>
      <c r="M55" s="273">
        <f t="shared" si="2"/>
        <v>742.04899999999986</v>
      </c>
      <c r="N55" s="71">
        <f t="shared" si="3"/>
        <v>50.650000000000006</v>
      </c>
      <c r="O55" s="72">
        <f t="shared" si="4"/>
        <v>1060.07</v>
      </c>
      <c r="P55" s="274">
        <f t="shared" si="5"/>
        <v>53692.5455</v>
      </c>
      <c r="R55" s="237">
        <f t="shared" si="6"/>
        <v>52.4</v>
      </c>
    </row>
    <row r="56" spans="2:18" s="121" customFormat="1" ht="16.5" customHeight="1" x14ac:dyDescent="0.2">
      <c r="B56" s="120"/>
      <c r="C56" s="73" t="s">
        <v>212</v>
      </c>
      <c r="D56" s="73" t="s">
        <v>209</v>
      </c>
      <c r="E56" s="74" t="s">
        <v>302</v>
      </c>
      <c r="F56" s="75" t="s">
        <v>303</v>
      </c>
      <c r="G56" s="76" t="s">
        <v>99</v>
      </c>
      <c r="H56" s="77">
        <v>3</v>
      </c>
      <c r="I56" s="78">
        <v>739.15</v>
      </c>
      <c r="J56" s="77">
        <v>2217.5</v>
      </c>
      <c r="K56" s="68">
        <v>0</v>
      </c>
      <c r="L56" s="69">
        <f t="shared" si="1"/>
        <v>739.15</v>
      </c>
      <c r="M56" s="273">
        <f t="shared" si="2"/>
        <v>0</v>
      </c>
      <c r="N56" s="71">
        <f t="shared" si="3"/>
        <v>3</v>
      </c>
      <c r="O56" s="72">
        <f t="shared" si="4"/>
        <v>739.15</v>
      </c>
      <c r="P56" s="274">
        <f t="shared" si="5"/>
        <v>2217.4499999999998</v>
      </c>
      <c r="R56" s="237">
        <f t="shared" si="6"/>
        <v>3.15</v>
      </c>
    </row>
    <row r="57" spans="2:18" s="121" customFormat="1" ht="16.5" customHeight="1" x14ac:dyDescent="0.2">
      <c r="B57" s="120"/>
      <c r="C57" s="56" t="s">
        <v>215</v>
      </c>
      <c r="D57" s="56" t="s">
        <v>96</v>
      </c>
      <c r="E57" s="57" t="s">
        <v>320</v>
      </c>
      <c r="F57" s="58" t="s">
        <v>321</v>
      </c>
      <c r="G57" s="59" t="s">
        <v>99</v>
      </c>
      <c r="H57" s="60">
        <v>1</v>
      </c>
      <c r="I57" s="61">
        <v>260.41000000000003</v>
      </c>
      <c r="J57" s="60">
        <v>260.39999999999998</v>
      </c>
      <c r="K57" s="68">
        <v>0</v>
      </c>
      <c r="L57" s="69">
        <f t="shared" si="1"/>
        <v>260.41000000000003</v>
      </c>
      <c r="M57" s="273">
        <f t="shared" si="2"/>
        <v>0</v>
      </c>
      <c r="N57" s="71">
        <f t="shared" si="3"/>
        <v>1</v>
      </c>
      <c r="O57" s="72">
        <f t="shared" si="4"/>
        <v>260.41000000000003</v>
      </c>
      <c r="P57" s="274">
        <f t="shared" si="5"/>
        <v>260.41000000000003</v>
      </c>
      <c r="R57" s="237">
        <f t="shared" si="6"/>
        <v>1.05</v>
      </c>
    </row>
    <row r="58" spans="2:18" s="121" customFormat="1" ht="16.5" customHeight="1" x14ac:dyDescent="0.2">
      <c r="B58" s="120"/>
      <c r="C58" s="73" t="s">
        <v>219</v>
      </c>
      <c r="D58" s="73" t="s">
        <v>209</v>
      </c>
      <c r="E58" s="74" t="s">
        <v>326</v>
      </c>
      <c r="F58" s="75" t="s">
        <v>327</v>
      </c>
      <c r="G58" s="76" t="s">
        <v>99</v>
      </c>
      <c r="H58" s="77">
        <v>1.02</v>
      </c>
      <c r="I58" s="78">
        <v>1801.85</v>
      </c>
      <c r="J58" s="77">
        <v>1837.9</v>
      </c>
      <c r="K58" s="68">
        <v>0</v>
      </c>
      <c r="L58" s="69">
        <f t="shared" si="1"/>
        <v>1801.85</v>
      </c>
      <c r="M58" s="273">
        <f t="shared" si="2"/>
        <v>0</v>
      </c>
      <c r="N58" s="71">
        <f t="shared" si="3"/>
        <v>1.02</v>
      </c>
      <c r="O58" s="72">
        <f t="shared" si="4"/>
        <v>1801.85</v>
      </c>
      <c r="P58" s="274">
        <f t="shared" si="5"/>
        <v>1837.8869999999999</v>
      </c>
      <c r="R58" s="237">
        <f t="shared" si="6"/>
        <v>1.07</v>
      </c>
    </row>
    <row r="59" spans="2:18" s="121" customFormat="1" ht="16.5" customHeight="1" x14ac:dyDescent="0.2">
      <c r="B59" s="120"/>
      <c r="C59" s="56" t="s">
        <v>223</v>
      </c>
      <c r="D59" s="56" t="s">
        <v>96</v>
      </c>
      <c r="E59" s="57" t="s">
        <v>329</v>
      </c>
      <c r="F59" s="58" t="s">
        <v>330</v>
      </c>
      <c r="G59" s="59" t="s">
        <v>99</v>
      </c>
      <c r="H59" s="60">
        <v>3</v>
      </c>
      <c r="I59" s="61">
        <v>219.64</v>
      </c>
      <c r="J59" s="60">
        <v>658.9</v>
      </c>
      <c r="K59" s="68">
        <v>0</v>
      </c>
      <c r="L59" s="69">
        <f t="shared" si="1"/>
        <v>219.64</v>
      </c>
      <c r="M59" s="273">
        <f t="shared" si="2"/>
        <v>0</v>
      </c>
      <c r="N59" s="71">
        <f t="shared" si="3"/>
        <v>3</v>
      </c>
      <c r="O59" s="72">
        <f t="shared" si="4"/>
        <v>219.64</v>
      </c>
      <c r="P59" s="274">
        <f t="shared" si="5"/>
        <v>658.92</v>
      </c>
      <c r="R59" s="237">
        <f t="shared" si="6"/>
        <v>3.15</v>
      </c>
    </row>
    <row r="60" spans="2:18" s="121" customFormat="1" ht="16.5" customHeight="1" x14ac:dyDescent="0.2">
      <c r="B60" s="120"/>
      <c r="C60" s="73" t="s">
        <v>226</v>
      </c>
      <c r="D60" s="73" t="s">
        <v>209</v>
      </c>
      <c r="E60" s="74" t="s">
        <v>332</v>
      </c>
      <c r="F60" s="75" t="s">
        <v>333</v>
      </c>
      <c r="G60" s="76" t="s">
        <v>99</v>
      </c>
      <c r="H60" s="77">
        <v>1.02</v>
      </c>
      <c r="I60" s="78">
        <v>1129.77</v>
      </c>
      <c r="J60" s="77">
        <v>1152.4000000000001</v>
      </c>
      <c r="K60" s="68">
        <v>0</v>
      </c>
      <c r="L60" s="69">
        <f t="shared" si="1"/>
        <v>1129.77</v>
      </c>
      <c r="M60" s="273">
        <f t="shared" si="2"/>
        <v>0</v>
      </c>
      <c r="N60" s="71">
        <f t="shared" si="3"/>
        <v>1.02</v>
      </c>
      <c r="O60" s="72">
        <f t="shared" si="4"/>
        <v>1129.77</v>
      </c>
      <c r="P60" s="274">
        <f t="shared" si="5"/>
        <v>1152.3653999999999</v>
      </c>
      <c r="R60" s="237">
        <f t="shared" si="6"/>
        <v>1.07</v>
      </c>
    </row>
    <row r="61" spans="2:18" s="121" customFormat="1" ht="16.5" customHeight="1" x14ac:dyDescent="0.2">
      <c r="B61" s="120"/>
      <c r="C61" s="73" t="s">
        <v>230</v>
      </c>
      <c r="D61" s="73" t="s">
        <v>209</v>
      </c>
      <c r="E61" s="74" t="s">
        <v>335</v>
      </c>
      <c r="F61" s="75" t="s">
        <v>336</v>
      </c>
      <c r="G61" s="76" t="s">
        <v>99</v>
      </c>
      <c r="H61" s="77">
        <v>2.0299999999999998</v>
      </c>
      <c r="I61" s="78">
        <v>1129.77</v>
      </c>
      <c r="J61" s="77">
        <v>2293.4</v>
      </c>
      <c r="K61" s="68">
        <v>0</v>
      </c>
      <c r="L61" s="69">
        <f t="shared" si="1"/>
        <v>1129.77</v>
      </c>
      <c r="M61" s="273">
        <f t="shared" si="2"/>
        <v>0</v>
      </c>
      <c r="N61" s="71">
        <f t="shared" si="3"/>
        <v>2.0299999999999998</v>
      </c>
      <c r="O61" s="72">
        <f t="shared" si="4"/>
        <v>1129.77</v>
      </c>
      <c r="P61" s="274">
        <f t="shared" si="5"/>
        <v>2293.4330999999997</v>
      </c>
      <c r="R61" s="237">
        <f t="shared" si="6"/>
        <v>2.13</v>
      </c>
    </row>
    <row r="62" spans="2:18" s="121" customFormat="1" ht="33.75" customHeight="1" x14ac:dyDescent="0.2">
      <c r="B62" s="120"/>
      <c r="C62" s="56" t="s">
        <v>233</v>
      </c>
      <c r="D62" s="56" t="s">
        <v>96</v>
      </c>
      <c r="E62" s="57" t="s">
        <v>347</v>
      </c>
      <c r="F62" s="58" t="s">
        <v>348</v>
      </c>
      <c r="G62" s="59" t="s">
        <v>133</v>
      </c>
      <c r="H62" s="60">
        <v>49.95</v>
      </c>
      <c r="I62" s="61">
        <v>68</v>
      </c>
      <c r="J62" s="60">
        <v>3396.6</v>
      </c>
      <c r="K62" s="68">
        <f t="shared" ref="K62" si="9">ROUND(53.1/52.4*R62-R62,2)</f>
        <v>0.7</v>
      </c>
      <c r="L62" s="69">
        <f t="shared" si="1"/>
        <v>68</v>
      </c>
      <c r="M62" s="273">
        <f t="shared" si="2"/>
        <v>47.599999999999994</v>
      </c>
      <c r="N62" s="71">
        <f t="shared" si="3"/>
        <v>50.650000000000006</v>
      </c>
      <c r="O62" s="72">
        <f t="shared" si="4"/>
        <v>68</v>
      </c>
      <c r="P62" s="274">
        <f t="shared" si="5"/>
        <v>3444.2000000000003</v>
      </c>
      <c r="R62" s="237">
        <f t="shared" si="6"/>
        <v>52.4</v>
      </c>
    </row>
    <row r="63" spans="2:18" s="121" customFormat="1" ht="16.5" customHeight="1" x14ac:dyDescent="0.2">
      <c r="B63" s="120"/>
      <c r="C63" s="56" t="s">
        <v>236</v>
      </c>
      <c r="D63" s="56" t="s">
        <v>96</v>
      </c>
      <c r="E63" s="57" t="s">
        <v>350</v>
      </c>
      <c r="F63" s="58" t="s">
        <v>351</v>
      </c>
      <c r="G63" s="59" t="s">
        <v>99</v>
      </c>
      <c r="H63" s="60">
        <v>4</v>
      </c>
      <c r="I63" s="61">
        <v>808.86</v>
      </c>
      <c r="J63" s="60">
        <v>3235.4</v>
      </c>
      <c r="K63" s="68">
        <v>0</v>
      </c>
      <c r="L63" s="69">
        <f t="shared" si="1"/>
        <v>808.86</v>
      </c>
      <c r="M63" s="273">
        <f t="shared" si="2"/>
        <v>0</v>
      </c>
      <c r="N63" s="71">
        <f t="shared" si="3"/>
        <v>4</v>
      </c>
      <c r="O63" s="72">
        <f t="shared" si="4"/>
        <v>808.86</v>
      </c>
      <c r="P63" s="274">
        <f t="shared" si="5"/>
        <v>3235.44</v>
      </c>
      <c r="R63" s="237">
        <f t="shared" si="6"/>
        <v>4.2</v>
      </c>
    </row>
    <row r="64" spans="2:18" s="121" customFormat="1" ht="16.5" customHeight="1" x14ac:dyDescent="0.2">
      <c r="B64" s="120"/>
      <c r="C64" s="73" t="s">
        <v>239</v>
      </c>
      <c r="D64" s="73" t="s">
        <v>209</v>
      </c>
      <c r="E64" s="74" t="s">
        <v>356</v>
      </c>
      <c r="F64" s="75" t="s">
        <v>357</v>
      </c>
      <c r="G64" s="76" t="s">
        <v>99</v>
      </c>
      <c r="H64" s="77">
        <v>2</v>
      </c>
      <c r="I64" s="78">
        <v>1202.1099999999999</v>
      </c>
      <c r="J64" s="77">
        <v>2404.1999999999998</v>
      </c>
      <c r="K64" s="68">
        <v>0</v>
      </c>
      <c r="L64" s="69">
        <f t="shared" si="1"/>
        <v>1202.1099999999999</v>
      </c>
      <c r="M64" s="273">
        <f t="shared" si="2"/>
        <v>0</v>
      </c>
      <c r="N64" s="71">
        <f t="shared" si="3"/>
        <v>2</v>
      </c>
      <c r="O64" s="72">
        <f t="shared" si="4"/>
        <v>1202.1099999999999</v>
      </c>
      <c r="P64" s="274">
        <f t="shared" si="5"/>
        <v>2404.2199999999998</v>
      </c>
      <c r="R64" s="237">
        <f t="shared" si="6"/>
        <v>2.1</v>
      </c>
    </row>
    <row r="65" spans="2:18" s="121" customFormat="1" ht="16.5" customHeight="1" x14ac:dyDescent="0.2">
      <c r="B65" s="120"/>
      <c r="C65" s="73" t="s">
        <v>242</v>
      </c>
      <c r="D65" s="73" t="s">
        <v>209</v>
      </c>
      <c r="E65" s="74" t="s">
        <v>359</v>
      </c>
      <c r="F65" s="75" t="s">
        <v>360</v>
      </c>
      <c r="G65" s="76" t="s">
        <v>99</v>
      </c>
      <c r="H65" s="77">
        <v>2</v>
      </c>
      <c r="I65" s="78">
        <v>775.98</v>
      </c>
      <c r="J65" s="77">
        <v>1552</v>
      </c>
      <c r="K65" s="68">
        <v>0</v>
      </c>
      <c r="L65" s="69">
        <f t="shared" si="1"/>
        <v>775.98</v>
      </c>
      <c r="M65" s="273">
        <f t="shared" si="2"/>
        <v>0</v>
      </c>
      <c r="N65" s="71">
        <f t="shared" si="3"/>
        <v>2</v>
      </c>
      <c r="O65" s="72">
        <f t="shared" si="4"/>
        <v>775.98</v>
      </c>
      <c r="P65" s="274">
        <f t="shared" si="5"/>
        <v>1551.96</v>
      </c>
      <c r="R65" s="237">
        <f t="shared" si="6"/>
        <v>2.1</v>
      </c>
    </row>
    <row r="66" spans="2:18" s="121" customFormat="1" ht="16.5" customHeight="1" x14ac:dyDescent="0.2">
      <c r="B66" s="120"/>
      <c r="C66" s="73" t="s">
        <v>245</v>
      </c>
      <c r="D66" s="73" t="s">
        <v>209</v>
      </c>
      <c r="E66" s="74" t="s">
        <v>362</v>
      </c>
      <c r="F66" s="75" t="s">
        <v>363</v>
      </c>
      <c r="G66" s="76" t="s">
        <v>99</v>
      </c>
      <c r="H66" s="77">
        <v>6</v>
      </c>
      <c r="I66" s="78">
        <v>211.75</v>
      </c>
      <c r="J66" s="77">
        <v>1270.5</v>
      </c>
      <c r="K66" s="68">
        <v>0</v>
      </c>
      <c r="L66" s="69">
        <f t="shared" si="1"/>
        <v>211.75</v>
      </c>
      <c r="M66" s="273">
        <f t="shared" si="2"/>
        <v>0</v>
      </c>
      <c r="N66" s="71">
        <f t="shared" si="3"/>
        <v>6</v>
      </c>
      <c r="O66" s="72">
        <f t="shared" si="4"/>
        <v>211.75</v>
      </c>
      <c r="P66" s="274">
        <f t="shared" si="5"/>
        <v>1270.5</v>
      </c>
      <c r="R66" s="237">
        <f t="shared" si="6"/>
        <v>6.29</v>
      </c>
    </row>
    <row r="67" spans="2:18" s="121" customFormat="1" ht="16.5" customHeight="1" x14ac:dyDescent="0.2">
      <c r="B67" s="120"/>
      <c r="C67" s="56" t="s">
        <v>248</v>
      </c>
      <c r="D67" s="56" t="s">
        <v>96</v>
      </c>
      <c r="E67" s="57" t="s">
        <v>365</v>
      </c>
      <c r="F67" s="58" t="s">
        <v>366</v>
      </c>
      <c r="G67" s="59" t="s">
        <v>99</v>
      </c>
      <c r="H67" s="60">
        <v>2</v>
      </c>
      <c r="I67" s="61">
        <v>808.86</v>
      </c>
      <c r="J67" s="60">
        <v>1617.7</v>
      </c>
      <c r="K67" s="68">
        <v>0</v>
      </c>
      <c r="L67" s="69">
        <f t="shared" si="1"/>
        <v>808.86</v>
      </c>
      <c r="M67" s="273">
        <f t="shared" si="2"/>
        <v>0</v>
      </c>
      <c r="N67" s="71">
        <f t="shared" si="3"/>
        <v>2</v>
      </c>
      <c r="O67" s="72">
        <f t="shared" si="4"/>
        <v>808.86</v>
      </c>
      <c r="P67" s="274">
        <f t="shared" si="5"/>
        <v>1617.72</v>
      </c>
      <c r="R67" s="237">
        <f t="shared" si="6"/>
        <v>2.1</v>
      </c>
    </row>
    <row r="68" spans="2:18" s="121" customFormat="1" ht="16.5" customHeight="1" x14ac:dyDescent="0.2">
      <c r="B68" s="120"/>
      <c r="C68" s="73" t="s">
        <v>251</v>
      </c>
      <c r="D68" s="73" t="s">
        <v>209</v>
      </c>
      <c r="E68" s="74" t="s">
        <v>368</v>
      </c>
      <c r="F68" s="75" t="s">
        <v>369</v>
      </c>
      <c r="G68" s="76" t="s">
        <v>99</v>
      </c>
      <c r="H68" s="77">
        <v>2</v>
      </c>
      <c r="I68" s="78">
        <v>1530.92</v>
      </c>
      <c r="J68" s="77">
        <v>3061.8</v>
      </c>
      <c r="K68" s="68">
        <v>0</v>
      </c>
      <c r="L68" s="69">
        <f t="shared" si="1"/>
        <v>1530.92</v>
      </c>
      <c r="M68" s="273">
        <f t="shared" si="2"/>
        <v>0</v>
      </c>
      <c r="N68" s="71">
        <f t="shared" si="3"/>
        <v>2</v>
      </c>
      <c r="O68" s="72">
        <f t="shared" si="4"/>
        <v>1530.92</v>
      </c>
      <c r="P68" s="274">
        <f t="shared" si="5"/>
        <v>3061.84</v>
      </c>
      <c r="R68" s="237">
        <f t="shared" si="6"/>
        <v>2.1</v>
      </c>
    </row>
    <row r="69" spans="2:18" s="121" customFormat="1" ht="16.5" customHeight="1" x14ac:dyDescent="0.2">
      <c r="B69" s="120"/>
      <c r="C69" s="56" t="s">
        <v>254</v>
      </c>
      <c r="D69" s="56" t="s">
        <v>96</v>
      </c>
      <c r="E69" s="57" t="s">
        <v>371</v>
      </c>
      <c r="F69" s="58" t="s">
        <v>372</v>
      </c>
      <c r="G69" s="59" t="s">
        <v>99</v>
      </c>
      <c r="H69" s="60">
        <v>2</v>
      </c>
      <c r="I69" s="61">
        <v>3234.12</v>
      </c>
      <c r="J69" s="60">
        <v>6468.2</v>
      </c>
      <c r="K69" s="68">
        <v>0</v>
      </c>
      <c r="L69" s="69">
        <f t="shared" si="1"/>
        <v>3234.12</v>
      </c>
      <c r="M69" s="273">
        <f t="shared" si="2"/>
        <v>0</v>
      </c>
      <c r="N69" s="71">
        <f t="shared" si="3"/>
        <v>2</v>
      </c>
      <c r="O69" s="72">
        <f t="shared" si="4"/>
        <v>3234.12</v>
      </c>
      <c r="P69" s="274">
        <f t="shared" si="5"/>
        <v>6468.24</v>
      </c>
      <c r="R69" s="237">
        <f t="shared" si="6"/>
        <v>2.1</v>
      </c>
    </row>
    <row r="70" spans="2:18" s="121" customFormat="1" ht="16.5" customHeight="1" x14ac:dyDescent="0.2">
      <c r="B70" s="120"/>
      <c r="C70" s="73" t="s">
        <v>258</v>
      </c>
      <c r="D70" s="73" t="s">
        <v>209</v>
      </c>
      <c r="E70" s="74" t="s">
        <v>374</v>
      </c>
      <c r="F70" s="75" t="s">
        <v>375</v>
      </c>
      <c r="G70" s="76" t="s">
        <v>99</v>
      </c>
      <c r="H70" s="77">
        <v>2</v>
      </c>
      <c r="I70" s="78">
        <v>14588.41</v>
      </c>
      <c r="J70" s="77">
        <v>29176.799999999999</v>
      </c>
      <c r="K70" s="68">
        <v>0</v>
      </c>
      <c r="L70" s="69">
        <f t="shared" si="1"/>
        <v>14588.41</v>
      </c>
      <c r="M70" s="273">
        <f t="shared" si="2"/>
        <v>0</v>
      </c>
      <c r="N70" s="71">
        <f t="shared" si="3"/>
        <v>2</v>
      </c>
      <c r="O70" s="72">
        <f t="shared" si="4"/>
        <v>14588.41</v>
      </c>
      <c r="P70" s="274">
        <f t="shared" si="5"/>
        <v>29176.82</v>
      </c>
      <c r="R70" s="237">
        <f t="shared" si="6"/>
        <v>2.1</v>
      </c>
    </row>
    <row r="71" spans="2:18" s="121" customFormat="1" ht="16.5" customHeight="1" x14ac:dyDescent="0.2">
      <c r="B71" s="120"/>
      <c r="C71" s="56" t="s">
        <v>261</v>
      </c>
      <c r="D71" s="56" t="s">
        <v>96</v>
      </c>
      <c r="E71" s="57" t="s">
        <v>377</v>
      </c>
      <c r="F71" s="58" t="s">
        <v>378</v>
      </c>
      <c r="G71" s="59" t="s">
        <v>99</v>
      </c>
      <c r="H71" s="60">
        <v>2</v>
      </c>
      <c r="I71" s="61">
        <v>485.32</v>
      </c>
      <c r="J71" s="60">
        <v>970.6</v>
      </c>
      <c r="K71" s="68">
        <v>0</v>
      </c>
      <c r="L71" s="69">
        <f t="shared" si="1"/>
        <v>485.32</v>
      </c>
      <c r="M71" s="273">
        <f t="shared" si="2"/>
        <v>0</v>
      </c>
      <c r="N71" s="71">
        <f t="shared" si="3"/>
        <v>2</v>
      </c>
      <c r="O71" s="72">
        <f t="shared" si="4"/>
        <v>485.32</v>
      </c>
      <c r="P71" s="274">
        <f t="shared" si="5"/>
        <v>970.64</v>
      </c>
      <c r="R71" s="237">
        <f t="shared" si="6"/>
        <v>2.1</v>
      </c>
    </row>
    <row r="72" spans="2:18" s="121" customFormat="1" ht="16.5" customHeight="1" x14ac:dyDescent="0.2">
      <c r="B72" s="120"/>
      <c r="C72" s="73" t="s">
        <v>264</v>
      </c>
      <c r="D72" s="73" t="s">
        <v>209</v>
      </c>
      <c r="E72" s="74" t="s">
        <v>380</v>
      </c>
      <c r="F72" s="75" t="s">
        <v>381</v>
      </c>
      <c r="G72" s="76" t="s">
        <v>99</v>
      </c>
      <c r="H72" s="77">
        <v>2</v>
      </c>
      <c r="I72" s="78">
        <v>6510.34</v>
      </c>
      <c r="J72" s="77">
        <v>13020.7</v>
      </c>
      <c r="K72" s="68">
        <v>0</v>
      </c>
      <c r="L72" s="69">
        <f t="shared" si="1"/>
        <v>6510.34</v>
      </c>
      <c r="M72" s="273">
        <f t="shared" si="2"/>
        <v>0</v>
      </c>
      <c r="N72" s="71">
        <f t="shared" si="3"/>
        <v>2</v>
      </c>
      <c r="O72" s="72">
        <f t="shared" si="4"/>
        <v>6510.34</v>
      </c>
      <c r="P72" s="274">
        <f t="shared" si="5"/>
        <v>13020.68</v>
      </c>
      <c r="R72" s="237">
        <f t="shared" si="6"/>
        <v>2.1</v>
      </c>
    </row>
    <row r="73" spans="2:18" s="121" customFormat="1" ht="16.5" customHeight="1" x14ac:dyDescent="0.2">
      <c r="B73" s="120"/>
      <c r="C73" s="56" t="s">
        <v>267</v>
      </c>
      <c r="D73" s="56" t="s">
        <v>96</v>
      </c>
      <c r="E73" s="57" t="s">
        <v>383</v>
      </c>
      <c r="F73" s="58" t="s">
        <v>384</v>
      </c>
      <c r="G73" s="59" t="s">
        <v>133</v>
      </c>
      <c r="H73" s="60">
        <v>49.95</v>
      </c>
      <c r="I73" s="61">
        <v>9.2100000000000009</v>
      </c>
      <c r="J73" s="60">
        <v>460</v>
      </c>
      <c r="K73" s="68">
        <f t="shared" ref="K73" si="10">ROUND(53.1/52.4*R73-R73,2)</f>
        <v>0.7</v>
      </c>
      <c r="L73" s="69">
        <f t="shared" si="1"/>
        <v>9.2100000000000009</v>
      </c>
      <c r="M73" s="273">
        <f t="shared" si="2"/>
        <v>6.4470000000000001</v>
      </c>
      <c r="N73" s="71">
        <f t="shared" si="3"/>
        <v>50.650000000000006</v>
      </c>
      <c r="O73" s="72">
        <f t="shared" si="4"/>
        <v>9.2100000000000009</v>
      </c>
      <c r="P73" s="274">
        <f t="shared" si="5"/>
        <v>466.48650000000009</v>
      </c>
      <c r="R73" s="237">
        <f t="shared" si="6"/>
        <v>52.4</v>
      </c>
    </row>
    <row r="74" spans="2:18" s="170" customFormat="1" ht="22.9" customHeight="1" x14ac:dyDescent="0.2">
      <c r="B74" s="165"/>
      <c r="C74" s="252"/>
      <c r="D74" s="253" t="s">
        <v>4</v>
      </c>
      <c r="E74" s="254" t="s">
        <v>118</v>
      </c>
      <c r="F74" s="254" t="s">
        <v>385</v>
      </c>
      <c r="G74" s="252"/>
      <c r="H74" s="252"/>
      <c r="I74" s="255"/>
      <c r="J74" s="256">
        <f>+SUBTOTAL(9,J75:J76)</f>
        <v>16754.099999999999</v>
      </c>
      <c r="K74" s="261"/>
      <c r="L74" s="262"/>
      <c r="M74" s="279">
        <f>SUM(M75:M76)</f>
        <v>0</v>
      </c>
      <c r="N74" s="280"/>
      <c r="O74" s="262"/>
      <c r="P74" s="279">
        <f>SUM(P75:P76)</f>
        <v>16754.1528</v>
      </c>
      <c r="R74" s="237">
        <f t="shared" si="6"/>
        <v>0</v>
      </c>
    </row>
    <row r="75" spans="2:18" s="121" customFormat="1" ht="16.5" customHeight="1" x14ac:dyDescent="0.2">
      <c r="B75" s="120"/>
      <c r="C75" s="56" t="s">
        <v>270</v>
      </c>
      <c r="D75" s="56" t="s">
        <v>96</v>
      </c>
      <c r="E75" s="57" t="s">
        <v>387</v>
      </c>
      <c r="F75" s="58" t="s">
        <v>388</v>
      </c>
      <c r="G75" s="59" t="s">
        <v>133</v>
      </c>
      <c r="H75" s="60">
        <v>104.72</v>
      </c>
      <c r="I75" s="61">
        <v>87.65</v>
      </c>
      <c r="J75" s="60">
        <v>9178.7000000000007</v>
      </c>
      <c r="K75" s="68">
        <v>0</v>
      </c>
      <c r="L75" s="69">
        <f t="shared" si="1"/>
        <v>87.65</v>
      </c>
      <c r="M75" s="273">
        <f t="shared" si="2"/>
        <v>0</v>
      </c>
      <c r="N75" s="71">
        <f t="shared" si="3"/>
        <v>104.72</v>
      </c>
      <c r="O75" s="72">
        <f t="shared" si="4"/>
        <v>87.65</v>
      </c>
      <c r="P75" s="274">
        <f t="shared" si="5"/>
        <v>9178.7080000000005</v>
      </c>
      <c r="R75" s="237">
        <f t="shared" si="6"/>
        <v>109.86</v>
      </c>
    </row>
    <row r="76" spans="2:18" s="121" customFormat="1" ht="16.5" customHeight="1" x14ac:dyDescent="0.2">
      <c r="B76" s="120"/>
      <c r="C76" s="56" t="s">
        <v>273</v>
      </c>
      <c r="D76" s="56" t="s">
        <v>96</v>
      </c>
      <c r="E76" s="57" t="s">
        <v>390</v>
      </c>
      <c r="F76" s="58" t="s">
        <v>391</v>
      </c>
      <c r="G76" s="59" t="s">
        <v>133</v>
      </c>
      <c r="H76" s="60">
        <v>104.72</v>
      </c>
      <c r="I76" s="61">
        <v>72.34</v>
      </c>
      <c r="J76" s="60">
        <v>7575.4</v>
      </c>
      <c r="K76" s="68">
        <v>0</v>
      </c>
      <c r="L76" s="69">
        <f t="shared" si="1"/>
        <v>72.34</v>
      </c>
      <c r="M76" s="273">
        <f t="shared" si="2"/>
        <v>0</v>
      </c>
      <c r="N76" s="71">
        <f t="shared" si="3"/>
        <v>104.72</v>
      </c>
      <c r="O76" s="72">
        <f t="shared" si="4"/>
        <v>72.34</v>
      </c>
      <c r="P76" s="274">
        <f t="shared" si="5"/>
        <v>7575.4448000000002</v>
      </c>
      <c r="R76" s="237">
        <f t="shared" si="6"/>
        <v>109.86</v>
      </c>
    </row>
    <row r="77" spans="2:18" s="170" customFormat="1" ht="22.9" customHeight="1" x14ac:dyDescent="0.2">
      <c r="B77" s="165"/>
      <c r="C77" s="252"/>
      <c r="D77" s="253" t="s">
        <v>4</v>
      </c>
      <c r="E77" s="254" t="s">
        <v>398</v>
      </c>
      <c r="F77" s="254" t="s">
        <v>399</v>
      </c>
      <c r="G77" s="252"/>
      <c r="H77" s="252"/>
      <c r="I77" s="255"/>
      <c r="J77" s="256">
        <f>+SUBTOTAL(9,J78:J80)</f>
        <v>21298.3</v>
      </c>
      <c r="K77" s="261"/>
      <c r="L77" s="262"/>
      <c r="M77" s="279">
        <f>SUM(M78:M80)</f>
        <v>195.33879999999999</v>
      </c>
      <c r="N77" s="280"/>
      <c r="O77" s="262"/>
      <c r="P77" s="279">
        <f>SUM(P78:P80)</f>
        <v>21493.759999999998</v>
      </c>
      <c r="R77" s="237">
        <f t="shared" si="6"/>
        <v>0</v>
      </c>
    </row>
    <row r="78" spans="2:18" s="121" customFormat="1" ht="16.5" customHeight="1" x14ac:dyDescent="0.2">
      <c r="B78" s="120"/>
      <c r="C78" s="56" t="s">
        <v>276</v>
      </c>
      <c r="D78" s="56" t="s">
        <v>96</v>
      </c>
      <c r="E78" s="57" t="s">
        <v>401</v>
      </c>
      <c r="F78" s="58" t="s">
        <v>402</v>
      </c>
      <c r="G78" s="59" t="s">
        <v>201</v>
      </c>
      <c r="H78" s="60">
        <v>54.16</v>
      </c>
      <c r="I78" s="61">
        <v>183.76</v>
      </c>
      <c r="J78" s="60">
        <v>9952.4</v>
      </c>
      <c r="K78" s="68">
        <f t="shared" ref="K78" si="11">ROUND(53.1/52.4*R78-R78,2)</f>
        <v>0.76</v>
      </c>
      <c r="L78" s="69">
        <f t="shared" si="1"/>
        <v>183.76</v>
      </c>
      <c r="M78" s="273">
        <f t="shared" si="2"/>
        <v>139.6576</v>
      </c>
      <c r="N78" s="71">
        <f t="shared" si="3"/>
        <v>54.919999999999995</v>
      </c>
      <c r="O78" s="72">
        <f t="shared" si="4"/>
        <v>183.76</v>
      </c>
      <c r="P78" s="274">
        <f t="shared" si="5"/>
        <v>10092.099199999999</v>
      </c>
      <c r="R78" s="237">
        <f t="shared" si="6"/>
        <v>56.82</v>
      </c>
    </row>
    <row r="79" spans="2:18" s="121" customFormat="1" ht="16.5" customHeight="1" x14ac:dyDescent="0.2">
      <c r="B79" s="120"/>
      <c r="C79" s="56" t="s">
        <v>279</v>
      </c>
      <c r="D79" s="56" t="s">
        <v>96</v>
      </c>
      <c r="E79" s="57" t="s">
        <v>407</v>
      </c>
      <c r="F79" s="58" t="s">
        <v>408</v>
      </c>
      <c r="G79" s="59" t="s">
        <v>201</v>
      </c>
      <c r="H79" s="60">
        <v>28.81</v>
      </c>
      <c r="I79" s="61">
        <v>257.77999999999997</v>
      </c>
      <c r="J79" s="60">
        <v>7426.6</v>
      </c>
      <c r="K79" s="68">
        <v>0</v>
      </c>
      <c r="L79" s="69">
        <f t="shared" si="1"/>
        <v>257.77999999999997</v>
      </c>
      <c r="M79" s="273">
        <f t="shared" si="2"/>
        <v>0</v>
      </c>
      <c r="N79" s="71">
        <f t="shared" si="3"/>
        <v>28.81</v>
      </c>
      <c r="O79" s="72">
        <f t="shared" si="4"/>
        <v>257.77999999999997</v>
      </c>
      <c r="P79" s="274">
        <f t="shared" si="5"/>
        <v>7426.6417999999985</v>
      </c>
      <c r="R79" s="237">
        <f t="shared" si="6"/>
        <v>30.22</v>
      </c>
    </row>
    <row r="80" spans="2:18" s="121" customFormat="1" ht="16.5" customHeight="1" x14ac:dyDescent="0.2">
      <c r="B80" s="120"/>
      <c r="C80" s="56" t="s">
        <v>282</v>
      </c>
      <c r="D80" s="56" t="s">
        <v>96</v>
      </c>
      <c r="E80" s="57" t="s">
        <v>410</v>
      </c>
      <c r="F80" s="58" t="s">
        <v>411</v>
      </c>
      <c r="G80" s="59" t="s">
        <v>201</v>
      </c>
      <c r="H80" s="60">
        <v>25.34</v>
      </c>
      <c r="I80" s="61">
        <v>154.66999999999999</v>
      </c>
      <c r="J80" s="60">
        <v>3919.3</v>
      </c>
      <c r="K80" s="68">
        <f t="shared" ref="K80" si="12">ROUND(53.1/52.4*R80-R80,2)</f>
        <v>0.36</v>
      </c>
      <c r="L80" s="69">
        <f t="shared" ref="L80:L82" si="13">I80</f>
        <v>154.66999999999999</v>
      </c>
      <c r="M80" s="273">
        <f t="shared" ref="M80:M82" si="14">K80*L80</f>
        <v>55.681199999999997</v>
      </c>
      <c r="N80" s="71">
        <f t="shared" ref="N80:N82" si="15">K80+H80</f>
        <v>25.7</v>
      </c>
      <c r="O80" s="72">
        <f t="shared" ref="O80:O82" si="16">I80</f>
        <v>154.66999999999999</v>
      </c>
      <c r="P80" s="274">
        <f t="shared" ref="P80:P82" si="17">N80*O80</f>
        <v>3975.0189999999998</v>
      </c>
      <c r="R80" s="237">
        <f t="shared" ref="R80:R82" si="18">ROUND(52.4/49.95*H80,2)</f>
        <v>26.58</v>
      </c>
    </row>
    <row r="81" spans="2:18" s="170" customFormat="1" ht="22.9" customHeight="1" x14ac:dyDescent="0.2">
      <c r="B81" s="165"/>
      <c r="C81" s="252"/>
      <c r="D81" s="253" t="s">
        <v>4</v>
      </c>
      <c r="E81" s="254" t="s">
        <v>412</v>
      </c>
      <c r="F81" s="254" t="s">
        <v>413</v>
      </c>
      <c r="G81" s="252"/>
      <c r="H81" s="252"/>
      <c r="I81" s="255"/>
      <c r="J81" s="256">
        <f>+SUBTOTAL(9,J82)</f>
        <v>16477.599999999999</v>
      </c>
      <c r="K81" s="261"/>
      <c r="L81" s="262"/>
      <c r="M81" s="279">
        <f>M82</f>
        <v>231.1284</v>
      </c>
      <c r="N81" s="280"/>
      <c r="O81" s="262"/>
      <c r="P81" s="279">
        <f>P82</f>
        <v>16708.7526</v>
      </c>
      <c r="R81" s="237">
        <f t="shared" si="18"/>
        <v>0</v>
      </c>
    </row>
    <row r="82" spans="2:18" s="121" customFormat="1" ht="16.5" customHeight="1" x14ac:dyDescent="0.2">
      <c r="B82" s="120"/>
      <c r="C82" s="56" t="s">
        <v>285</v>
      </c>
      <c r="D82" s="56" t="s">
        <v>96</v>
      </c>
      <c r="E82" s="57" t="s">
        <v>415</v>
      </c>
      <c r="F82" s="58" t="s">
        <v>416</v>
      </c>
      <c r="G82" s="59" t="s">
        <v>201</v>
      </c>
      <c r="H82" s="60">
        <v>144.01</v>
      </c>
      <c r="I82" s="61">
        <v>114.42</v>
      </c>
      <c r="J82" s="60">
        <v>16477.599999999999</v>
      </c>
      <c r="K82" s="68">
        <f t="shared" ref="K82" si="19">ROUND(53.1/52.4*R82-R82,2)</f>
        <v>2.02</v>
      </c>
      <c r="L82" s="69">
        <f t="shared" si="13"/>
        <v>114.42</v>
      </c>
      <c r="M82" s="273">
        <f t="shared" si="14"/>
        <v>231.1284</v>
      </c>
      <c r="N82" s="71">
        <f t="shared" si="15"/>
        <v>146.03</v>
      </c>
      <c r="O82" s="72">
        <f t="shared" si="16"/>
        <v>114.42</v>
      </c>
      <c r="P82" s="274">
        <f t="shared" si="17"/>
        <v>16708.7526</v>
      </c>
      <c r="R82" s="237">
        <f t="shared" si="18"/>
        <v>151.07</v>
      </c>
    </row>
    <row r="83" spans="2:18" s="121" customFormat="1" ht="6.95" customHeight="1" x14ac:dyDescent="0.2">
      <c r="B83" s="120"/>
      <c r="C83" s="120"/>
      <c r="D83" s="120"/>
      <c r="E83" s="120"/>
      <c r="F83" s="120"/>
      <c r="G83" s="120"/>
      <c r="H83" s="120"/>
      <c r="I83" s="153"/>
      <c r="J83" s="120"/>
    </row>
    <row r="84" spans="2:18" ht="18" customHeight="1" x14ac:dyDescent="0.2">
      <c r="D84" s="42"/>
      <c r="E84" s="43" t="s">
        <v>882</v>
      </c>
      <c r="F84" s="44"/>
      <c r="G84" s="44"/>
      <c r="H84" s="45"/>
      <c r="I84" s="44"/>
      <c r="J84" s="46">
        <f>ROUND(SUBTOTAL(9,J12:J82),2)</f>
        <v>574558</v>
      </c>
      <c r="K84" s="49"/>
      <c r="L84" s="46"/>
      <c r="M84" s="281">
        <f>M81+M77+M74+M53+M47+M40+M37+M14</f>
        <v>5363.2438999999995</v>
      </c>
      <c r="N84" s="49"/>
      <c r="O84" s="46"/>
      <c r="P84" s="281">
        <f>P81+P77+P74+P53+P47+P40+P37+P14</f>
        <v>579921.60129999998</v>
      </c>
    </row>
    <row r="85" spans="2:18" ht="12.75" x14ac:dyDescent="0.2">
      <c r="H85" s="50"/>
      <c r="I85" s="8"/>
      <c r="J85" s="9"/>
    </row>
    <row r="86" spans="2:18" ht="14.25" x14ac:dyDescent="0.2">
      <c r="E86" s="6" t="s">
        <v>849</v>
      </c>
      <c r="F86" s="6"/>
      <c r="G86" s="320" t="s">
        <v>1224</v>
      </c>
      <c r="H86" s="50"/>
      <c r="I86" s="8"/>
      <c r="J86" s="6"/>
      <c r="K86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D9:H10" name="Oblast1_2_1"/>
  </protectedRanges>
  <autoFilter ref="C10:P82" xr:uid="{355EC30F-9BB4-49C1-98E1-B5D24A0AF95F}"/>
  <mergeCells count="3">
    <mergeCell ref="S12:S14"/>
    <mergeCell ref="K9:M9"/>
    <mergeCell ref="N9:P9"/>
  </mergeCells>
  <pageMargins left="0.39370078740157483" right="0.39370078740157483" top="0.39370078740157483" bottom="0.39370078740157483" header="0" footer="0"/>
  <pageSetup paperSize="9" scale="57" fitToHeight="0" orientation="landscape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Y104"/>
  <sheetViews>
    <sheetView showGridLines="0" view="pageBreakPreview" zoomScale="85" zoomScaleNormal="85" zoomScaleSheetLayoutView="85" workbookViewId="0">
      <selection activeCell="F13" sqref="F13"/>
    </sheetView>
  </sheetViews>
  <sheetFormatPr defaultColWidth="9.33203125" defaultRowHeight="11.25" x14ac:dyDescent="0.2"/>
  <cols>
    <col min="1" max="1" width="8.33203125" style="8" customWidth="1"/>
    <col min="2" max="2" width="1.6640625" style="8" customWidth="1"/>
    <col min="3" max="3" width="4.1640625" style="8" customWidth="1"/>
    <col min="4" max="4" width="4.33203125" style="8" customWidth="1"/>
    <col min="5" max="5" width="17.1640625" style="8" customWidth="1"/>
    <col min="6" max="6" width="100.83203125" style="8" customWidth="1"/>
    <col min="7" max="7" width="8.6640625" style="8" customWidth="1"/>
    <col min="8" max="8" width="11.1640625" style="8" customWidth="1"/>
    <col min="9" max="9" width="14.1640625" style="173" customWidth="1"/>
    <col min="10" max="10" width="23.5" style="8" customWidth="1"/>
    <col min="11" max="11" width="17.5" style="8" customWidth="1"/>
    <col min="12" max="12" width="21.6640625" style="8" bestFit="1" customWidth="1"/>
    <col min="13" max="13" width="21" style="8" bestFit="1" customWidth="1"/>
    <col min="14" max="14" width="17.6640625" style="8" bestFit="1" customWidth="1"/>
    <col min="15" max="15" width="21.6640625" style="8" customWidth="1"/>
    <col min="16" max="16" width="21" style="8" bestFit="1" customWidth="1"/>
    <col min="17" max="17" width="17.33203125" style="8" customWidth="1"/>
    <col min="18" max="18" width="24.83203125" style="8" bestFit="1" customWidth="1"/>
    <col min="19" max="19" width="46.6640625" style="8" bestFit="1" customWidth="1"/>
    <col min="20" max="20" width="28.1640625" style="8" bestFit="1" customWidth="1"/>
    <col min="21" max="21" width="29" style="8" bestFit="1" customWidth="1"/>
    <col min="22" max="22" width="22" style="8" bestFit="1" customWidth="1"/>
    <col min="23" max="23" width="15.5" style="8" bestFit="1" customWidth="1"/>
    <col min="24" max="24" width="34.83203125" style="8" bestFit="1" customWidth="1"/>
    <col min="25" max="25" width="9.33203125" style="8" hidden="1" customWidth="1"/>
    <col min="26" max="16384" width="9.33203125" style="8"/>
  </cols>
  <sheetData>
    <row r="1" spans="2:22" ht="18.95" customHeight="1" x14ac:dyDescent="0.2">
      <c r="F1" s="11"/>
      <c r="G1" s="89"/>
      <c r="H1" s="88"/>
      <c r="I1" s="8"/>
      <c r="J1" s="9"/>
    </row>
    <row r="2" spans="2:22" s="88" customFormat="1" ht="18" customHeight="1" x14ac:dyDescent="0.2">
      <c r="E2" s="13"/>
      <c r="F2" s="11" t="s">
        <v>824</v>
      </c>
      <c r="G2" s="89" t="s">
        <v>975</v>
      </c>
      <c r="I2" s="91"/>
      <c r="J2" s="141"/>
      <c r="K2" s="95"/>
      <c r="L2" s="96"/>
      <c r="M2" s="96"/>
      <c r="N2" s="97"/>
      <c r="O2" s="142"/>
    </row>
    <row r="3" spans="2:22" s="88" customFormat="1" ht="18" customHeight="1" x14ac:dyDescent="0.2">
      <c r="E3" s="13"/>
      <c r="F3" s="11" t="s">
        <v>826</v>
      </c>
      <c r="G3" s="89" t="s">
        <v>3</v>
      </c>
      <c r="H3" s="13"/>
      <c r="I3" s="91"/>
      <c r="J3" s="141"/>
      <c r="K3" s="95"/>
      <c r="L3" s="96"/>
      <c r="M3" s="96"/>
      <c r="N3" s="97"/>
      <c r="O3" s="142"/>
    </row>
    <row r="4" spans="2:22" s="13" customFormat="1" ht="18" customHeight="1" x14ac:dyDescent="0.2">
      <c r="F4" s="1" t="s">
        <v>827</v>
      </c>
      <c r="G4" s="12" t="s">
        <v>828</v>
      </c>
      <c r="I4" s="91"/>
      <c r="J4" s="143"/>
      <c r="K4" s="102"/>
      <c r="L4" s="103"/>
      <c r="M4" s="103"/>
      <c r="N4" s="104"/>
      <c r="O4" s="144"/>
    </row>
    <row r="5" spans="2:22" s="13" customFormat="1" ht="18" customHeight="1" x14ac:dyDescent="0.2">
      <c r="F5" s="1" t="s">
        <v>829</v>
      </c>
      <c r="G5" s="12" t="s">
        <v>830</v>
      </c>
      <c r="I5" s="91"/>
      <c r="J5" s="143"/>
      <c r="K5" s="102"/>
      <c r="L5" s="103"/>
      <c r="M5" s="103"/>
      <c r="N5" s="104"/>
      <c r="O5" s="144"/>
    </row>
    <row r="6" spans="2:22" s="13" customFormat="1" ht="18" customHeight="1" x14ac:dyDescent="0.2">
      <c r="F6" s="11" t="s">
        <v>831</v>
      </c>
      <c r="G6" s="12" t="s">
        <v>832</v>
      </c>
      <c r="I6" s="91"/>
      <c r="J6" s="143"/>
      <c r="K6" s="102"/>
      <c r="L6" s="103"/>
      <c r="M6" s="103"/>
      <c r="N6" s="104"/>
      <c r="O6" s="144"/>
    </row>
    <row r="7" spans="2:22" s="13" customFormat="1" ht="18" customHeight="1" x14ac:dyDescent="0.2">
      <c r="F7" s="11" t="s">
        <v>833</v>
      </c>
      <c r="G7" s="105" t="s">
        <v>834</v>
      </c>
      <c r="H7" s="145"/>
      <c r="I7" s="91"/>
      <c r="J7" s="143"/>
      <c r="K7" s="102"/>
      <c r="L7" s="103"/>
      <c r="M7" s="103"/>
      <c r="N7" s="104"/>
      <c r="O7" s="144"/>
    </row>
    <row r="8" spans="2:22" s="14" customFormat="1" ht="18" customHeight="1" x14ac:dyDescent="0.2">
      <c r="D8" s="146"/>
      <c r="F8" s="11"/>
      <c r="G8" s="105"/>
      <c r="H8" s="145"/>
      <c r="K8" s="149" t="s">
        <v>851</v>
      </c>
      <c r="L8" s="150" t="str">
        <f>+C12</f>
        <v>A7 - Stoka A7</v>
      </c>
      <c r="M8" s="150"/>
      <c r="O8" s="151"/>
    </row>
    <row r="9" spans="2:22" s="15" customFormat="1" ht="20.100000000000001" customHeight="1" x14ac:dyDescent="0.2">
      <c r="C9" s="174"/>
      <c r="D9" s="176"/>
      <c r="E9" s="176"/>
      <c r="F9" s="176"/>
      <c r="G9" s="176"/>
      <c r="H9" s="176"/>
      <c r="I9" s="177"/>
      <c r="J9" s="178"/>
      <c r="K9" s="339" t="s">
        <v>1208</v>
      </c>
      <c r="L9" s="339"/>
      <c r="M9" s="340"/>
      <c r="N9" s="341" t="s">
        <v>1215</v>
      </c>
      <c r="O9" s="341"/>
      <c r="P9" s="342"/>
    </row>
    <row r="10" spans="2:22" s="15" customFormat="1" ht="24" customHeight="1" x14ac:dyDescent="0.2">
      <c r="C10" s="16"/>
      <c r="D10" s="18" t="s">
        <v>869</v>
      </c>
      <c r="E10" s="18" t="s">
        <v>870</v>
      </c>
      <c r="F10" s="18" t="s">
        <v>871</v>
      </c>
      <c r="G10" s="18" t="s">
        <v>91</v>
      </c>
      <c r="H10" s="19" t="s">
        <v>92</v>
      </c>
      <c r="I10" s="20" t="s">
        <v>872</v>
      </c>
      <c r="J10" s="21" t="s">
        <v>873</v>
      </c>
      <c r="K10" s="25" t="s">
        <v>874</v>
      </c>
      <c r="L10" s="26" t="s">
        <v>1213</v>
      </c>
      <c r="M10" s="26" t="s">
        <v>873</v>
      </c>
      <c r="N10" s="27" t="s">
        <v>874</v>
      </c>
      <c r="O10" s="28" t="s">
        <v>1213</v>
      </c>
      <c r="P10" s="55" t="s">
        <v>873</v>
      </c>
      <c r="Q10" s="189" t="s">
        <v>935</v>
      </c>
      <c r="S10" s="189" t="s">
        <v>976</v>
      </c>
      <c r="T10" s="189" t="s">
        <v>990</v>
      </c>
      <c r="U10" s="189" t="s">
        <v>1003</v>
      </c>
      <c r="V10" s="189" t="s">
        <v>1020</v>
      </c>
    </row>
    <row r="11" spans="2:22" s="15" customFormat="1" ht="12.75" x14ac:dyDescent="0.2">
      <c r="D11" s="29"/>
      <c r="E11" s="29"/>
      <c r="F11" s="29"/>
      <c r="G11" s="29"/>
      <c r="H11" s="30"/>
      <c r="I11" s="31"/>
      <c r="J11" s="32"/>
      <c r="K11" s="38"/>
      <c r="L11" s="39"/>
      <c r="M11" s="39"/>
      <c r="N11" s="40"/>
      <c r="O11" s="41"/>
    </row>
    <row r="12" spans="2:22" s="121" customFormat="1" ht="22.9" customHeight="1" x14ac:dyDescent="0.25">
      <c r="B12" s="120"/>
      <c r="C12" s="152" t="s">
        <v>423</v>
      </c>
      <c r="D12" s="120"/>
      <c r="E12" s="120"/>
      <c r="F12" s="120"/>
      <c r="G12" s="120"/>
      <c r="H12" s="120"/>
      <c r="I12" s="153"/>
      <c r="J12" s="154">
        <f>+SUBTOTAL(9,J13:J100)</f>
        <v>3017724.7000000007</v>
      </c>
      <c r="K12" s="161" t="str">
        <f>IF(ISBLANK(H12),"",SUM(#REF!+#REF!+#REF!+#REF!+#REF!+#REF!+#REF!+#REF!+#REF!+#REF!+#REF!+#REF!+#REF!+#REF!+#REF!,#REF!,#REF!,#REF!+#REF!,#REF!,#REF!,#REF!,#REF!,#REF!))</f>
        <v/>
      </c>
      <c r="L12" s="162" t="str">
        <f>IF(ISBLANK(H12),"",SUM(#REF!+#REF!+#REF!+#REF!+#REF!+#REF!+#REF!+#REF!+#REF!+#REF!+#REF!+#REF!+#REF!+#REF!,#REF!,#REF!,#REF!,#REF!,#REF!,#REF!,#REF!,#REF!,#REF!))</f>
        <v/>
      </c>
      <c r="M12" s="162"/>
      <c r="N12" s="163" t="str">
        <f>IF(ISBLANK(H12),"",H12-K12)</f>
        <v/>
      </c>
      <c r="O12" s="164" t="str">
        <f>IF(ISBLANK(H12),"",J12-L12)</f>
        <v/>
      </c>
    </row>
    <row r="13" spans="2:22" s="170" customFormat="1" ht="25.9" customHeight="1" x14ac:dyDescent="0.2">
      <c r="B13" s="165"/>
      <c r="C13" s="165"/>
      <c r="D13" s="166" t="s">
        <v>4</v>
      </c>
      <c r="E13" s="167" t="s">
        <v>93</v>
      </c>
      <c r="F13" s="167" t="s">
        <v>94</v>
      </c>
      <c r="G13" s="165"/>
      <c r="H13" s="165"/>
      <c r="I13" s="168"/>
      <c r="J13" s="169">
        <f>+SUBTOTAL(9,J14:J100)</f>
        <v>3017724.7000000007</v>
      </c>
      <c r="K13" s="161" t="str">
        <f>IF(ISBLANK(H13),"",SUM(#REF!+#REF!+#REF!+#REF!+#REF!+#REF!+#REF!+#REF!+#REF!+#REF!+#REF!+#REF!+#REF!+#REF!+#REF!,#REF!,#REF!,#REF!+#REF!,#REF!,#REF!,#REF!,#REF!,#REF!))</f>
        <v/>
      </c>
      <c r="L13" s="162" t="str">
        <f>IF(ISBLANK(H13),"",SUM(#REF!+#REF!+#REF!+#REF!+#REF!+#REF!+#REF!+#REF!+#REF!+#REF!+#REF!+#REF!+#REF!+#REF!,#REF!,#REF!,#REF!,#REF!,#REF!,#REF!,#REF!,#REF!,#REF!))</f>
        <v/>
      </c>
      <c r="M13" s="162"/>
      <c r="N13" s="163" t="str">
        <f>IF(ISBLANK(H13),"",H13-K13)</f>
        <v/>
      </c>
      <c r="O13" s="164" t="str">
        <f>IF(ISBLANK(H13),"",J13-L13)</f>
        <v/>
      </c>
      <c r="V13" s="209" t="s">
        <v>1025</v>
      </c>
    </row>
    <row r="14" spans="2:22" s="170" customFormat="1" ht="22.9" customHeight="1" x14ac:dyDescent="0.2">
      <c r="B14" s="165"/>
      <c r="C14" s="263"/>
      <c r="D14" s="264" t="s">
        <v>4</v>
      </c>
      <c r="E14" s="265" t="s">
        <v>7</v>
      </c>
      <c r="F14" s="265" t="s">
        <v>95</v>
      </c>
      <c r="G14" s="263"/>
      <c r="H14" s="263"/>
      <c r="I14" s="266"/>
      <c r="J14" s="267">
        <f>+SUBTOTAL(9,J15:J45)</f>
        <v>1356511.2999999998</v>
      </c>
      <c r="K14" s="271" t="str">
        <f>IF(ISBLANK(H14),"",SUM(#REF!+#REF!+#REF!+#REF!+#REF!+#REF!+#REF!+#REF!+#REF!+#REF!+#REF!+#REF!+#REF!+#REF!+#REF!,#REF!,#REF!,#REF!+#REF!,#REF!,#REF!,#REF!,#REF!,#REF!))</f>
        <v/>
      </c>
      <c r="L14" s="272" t="str">
        <f>IF(ISBLANK(H14),"",SUM(#REF!+#REF!+#REF!+#REF!+#REF!+#REF!+#REF!+#REF!+#REF!+#REF!+#REF!+#REF!+#REF!+#REF!,#REF!,#REF!,#REF!,#REF!,#REF!,#REF!,#REF!,#REF!,#REF!))</f>
        <v/>
      </c>
      <c r="M14" s="272">
        <f>SUM(M15:M45)</f>
        <v>-1077.5901999999999</v>
      </c>
      <c r="N14" s="278" t="str">
        <f>IF(ISBLANK(H14),"",H14-K14)</f>
        <v/>
      </c>
      <c r="O14" s="272" t="str">
        <f>IF(ISBLANK(H14),"",J14-L14)</f>
        <v/>
      </c>
      <c r="P14" s="272">
        <f>SUM(P15:P45)</f>
        <v>1355433.9088999999</v>
      </c>
      <c r="Q14" s="218" t="s">
        <v>1216</v>
      </c>
    </row>
    <row r="15" spans="2:22" s="121" customFormat="1" ht="16.5" customHeight="1" x14ac:dyDescent="0.2">
      <c r="B15" s="120"/>
      <c r="C15" s="56" t="s">
        <v>8</v>
      </c>
      <c r="D15" s="56" t="s">
        <v>96</v>
      </c>
      <c r="E15" s="57" t="s">
        <v>113</v>
      </c>
      <c r="F15" s="58" t="s">
        <v>114</v>
      </c>
      <c r="G15" s="59" t="s">
        <v>108</v>
      </c>
      <c r="H15" s="60">
        <v>67.849999999999994</v>
      </c>
      <c r="I15" s="61">
        <v>26.3</v>
      </c>
      <c r="J15" s="60">
        <v>1784.5</v>
      </c>
      <c r="K15" s="68">
        <f>ROUND(273.1/273.3*Q15-Q15,2)</f>
        <v>-0.05</v>
      </c>
      <c r="L15" s="69">
        <f>I15</f>
        <v>26.3</v>
      </c>
      <c r="M15" s="273">
        <f>K15*L15</f>
        <v>-1.3150000000000002</v>
      </c>
      <c r="N15" s="71">
        <f>H15+K15</f>
        <v>67.8</v>
      </c>
      <c r="O15" s="72">
        <f>I15</f>
        <v>26.3</v>
      </c>
      <c r="P15" s="274">
        <f>N15*O15</f>
        <v>1783.1399999999999</v>
      </c>
      <c r="Q15" s="237">
        <f>ROUND(273.3/258.94*H15,2)</f>
        <v>71.61</v>
      </c>
    </row>
    <row r="16" spans="2:22" s="121" customFormat="1" ht="16.5" customHeight="1" x14ac:dyDescent="0.2">
      <c r="B16" s="120"/>
      <c r="C16" s="56" t="s">
        <v>13</v>
      </c>
      <c r="D16" s="56" t="s">
        <v>96</v>
      </c>
      <c r="E16" s="57" t="s">
        <v>116</v>
      </c>
      <c r="F16" s="58" t="s">
        <v>117</v>
      </c>
      <c r="G16" s="59" t="s">
        <v>108</v>
      </c>
      <c r="H16" s="60">
        <v>176</v>
      </c>
      <c r="I16" s="61">
        <v>40.770000000000003</v>
      </c>
      <c r="J16" s="60">
        <v>7175.5</v>
      </c>
      <c r="K16" s="68">
        <f t="shared" ref="K16:K17" si="0">ROUND(273.1/273.3*Q16-Q16,2)</f>
        <v>-0.14000000000000001</v>
      </c>
      <c r="L16" s="69">
        <f t="shared" ref="L16:L79" si="1">I16</f>
        <v>40.770000000000003</v>
      </c>
      <c r="M16" s="273">
        <f t="shared" ref="M16:M79" si="2">K16*L16</f>
        <v>-5.7078000000000007</v>
      </c>
      <c r="N16" s="71">
        <f t="shared" ref="N16:N79" si="3">H16+K16</f>
        <v>175.86</v>
      </c>
      <c r="O16" s="72">
        <f t="shared" ref="O16:O79" si="4">I16</f>
        <v>40.770000000000003</v>
      </c>
      <c r="P16" s="274">
        <f t="shared" ref="P16:P79" si="5">N16*O16</f>
        <v>7169.8122000000012</v>
      </c>
      <c r="Q16" s="237">
        <f t="shared" ref="Q16:Q79" si="6">ROUND(273.3/258.94*H16,2)</f>
        <v>185.76</v>
      </c>
      <c r="U16" s="208" t="s">
        <v>1005</v>
      </c>
    </row>
    <row r="17" spans="2:21" s="121" customFormat="1" ht="16.5" customHeight="1" x14ac:dyDescent="0.2">
      <c r="B17" s="120"/>
      <c r="C17" s="56" t="s">
        <v>100</v>
      </c>
      <c r="D17" s="56" t="s">
        <v>96</v>
      </c>
      <c r="E17" s="57" t="s">
        <v>122</v>
      </c>
      <c r="F17" s="58" t="s">
        <v>123</v>
      </c>
      <c r="G17" s="59" t="s">
        <v>108</v>
      </c>
      <c r="H17" s="60">
        <v>67.849999999999994</v>
      </c>
      <c r="I17" s="61">
        <v>336.7</v>
      </c>
      <c r="J17" s="60">
        <v>22845.1</v>
      </c>
      <c r="K17" s="68">
        <f t="shared" si="0"/>
        <v>-0.05</v>
      </c>
      <c r="L17" s="69">
        <f t="shared" si="1"/>
        <v>336.7</v>
      </c>
      <c r="M17" s="273">
        <f t="shared" si="2"/>
        <v>-16.835000000000001</v>
      </c>
      <c r="N17" s="71">
        <f t="shared" si="3"/>
        <v>67.8</v>
      </c>
      <c r="O17" s="72">
        <f t="shared" si="4"/>
        <v>336.7</v>
      </c>
      <c r="P17" s="274">
        <f t="shared" si="5"/>
        <v>22828.26</v>
      </c>
      <c r="Q17" s="237">
        <f t="shared" si="6"/>
        <v>71.61</v>
      </c>
    </row>
    <row r="18" spans="2:21" s="121" customFormat="1" ht="22.5" x14ac:dyDescent="0.2">
      <c r="B18" s="120"/>
      <c r="C18" s="56" t="s">
        <v>105</v>
      </c>
      <c r="D18" s="56" t="s">
        <v>96</v>
      </c>
      <c r="E18" s="57" t="s">
        <v>125</v>
      </c>
      <c r="F18" s="58" t="s">
        <v>126</v>
      </c>
      <c r="G18" s="59" t="s">
        <v>108</v>
      </c>
      <c r="H18" s="60">
        <v>461.85</v>
      </c>
      <c r="I18" s="61">
        <v>55.24</v>
      </c>
      <c r="J18" s="60">
        <v>25512.6</v>
      </c>
      <c r="K18" s="68">
        <v>0</v>
      </c>
      <c r="L18" s="69">
        <f t="shared" si="1"/>
        <v>55.24</v>
      </c>
      <c r="M18" s="273">
        <f t="shared" si="2"/>
        <v>0</v>
      </c>
      <c r="N18" s="71">
        <f t="shared" si="3"/>
        <v>461.85</v>
      </c>
      <c r="O18" s="72">
        <f t="shared" si="4"/>
        <v>55.24</v>
      </c>
      <c r="P18" s="274">
        <f t="shared" si="5"/>
        <v>25512.594000000001</v>
      </c>
      <c r="Q18" s="237">
        <f t="shared" si="6"/>
        <v>487.46</v>
      </c>
      <c r="U18" s="190" t="s">
        <v>1006</v>
      </c>
    </row>
    <row r="19" spans="2:21" s="121" customFormat="1" ht="16.5" customHeight="1" x14ac:dyDescent="0.2">
      <c r="B19" s="120"/>
      <c r="C19" s="56" t="s">
        <v>109</v>
      </c>
      <c r="D19" s="56" t="s">
        <v>96</v>
      </c>
      <c r="E19" s="57" t="s">
        <v>128</v>
      </c>
      <c r="F19" s="58" t="s">
        <v>129</v>
      </c>
      <c r="G19" s="59" t="s">
        <v>108</v>
      </c>
      <c r="H19" s="60">
        <v>243.85</v>
      </c>
      <c r="I19" s="61">
        <v>98.64</v>
      </c>
      <c r="J19" s="60">
        <v>24053.4</v>
      </c>
      <c r="K19" s="68">
        <v>0</v>
      </c>
      <c r="L19" s="69">
        <f t="shared" si="1"/>
        <v>98.64</v>
      </c>
      <c r="M19" s="273">
        <f t="shared" si="2"/>
        <v>0</v>
      </c>
      <c r="N19" s="71">
        <f t="shared" si="3"/>
        <v>243.85</v>
      </c>
      <c r="O19" s="72">
        <f t="shared" si="4"/>
        <v>98.64</v>
      </c>
      <c r="P19" s="274">
        <f t="shared" si="5"/>
        <v>24053.364000000001</v>
      </c>
      <c r="Q19" s="237">
        <f t="shared" si="6"/>
        <v>257.37</v>
      </c>
      <c r="T19" s="186" t="s">
        <v>994</v>
      </c>
    </row>
    <row r="20" spans="2:21" s="121" customFormat="1" ht="16.5" customHeight="1" x14ac:dyDescent="0.2">
      <c r="B20" s="120"/>
      <c r="C20" s="56" t="s">
        <v>112</v>
      </c>
      <c r="D20" s="56" t="s">
        <v>96</v>
      </c>
      <c r="E20" s="57" t="s">
        <v>142</v>
      </c>
      <c r="F20" s="58" t="s">
        <v>143</v>
      </c>
      <c r="G20" s="59" t="s">
        <v>133</v>
      </c>
      <c r="H20" s="60">
        <v>9.9</v>
      </c>
      <c r="I20" s="61">
        <v>170.98</v>
      </c>
      <c r="J20" s="60">
        <v>1692.7</v>
      </c>
      <c r="K20" s="68">
        <f t="shared" ref="K20:K48" si="7">ROUND(273.1/273.3*Q20-Q20,2)</f>
        <v>-0.01</v>
      </c>
      <c r="L20" s="69">
        <f t="shared" si="1"/>
        <v>170.98</v>
      </c>
      <c r="M20" s="273">
        <f t="shared" si="2"/>
        <v>-1.7098</v>
      </c>
      <c r="N20" s="71">
        <f t="shared" si="3"/>
        <v>9.89</v>
      </c>
      <c r="O20" s="72">
        <f t="shared" si="4"/>
        <v>170.98</v>
      </c>
      <c r="P20" s="274">
        <f t="shared" si="5"/>
        <v>1690.9921999999999</v>
      </c>
      <c r="Q20" s="237">
        <f t="shared" si="6"/>
        <v>10.45</v>
      </c>
    </row>
    <row r="21" spans="2:21" s="121" customFormat="1" ht="16.5" customHeight="1" x14ac:dyDescent="0.2">
      <c r="B21" s="120"/>
      <c r="C21" s="56" t="s">
        <v>115</v>
      </c>
      <c r="D21" s="56" t="s">
        <v>96</v>
      </c>
      <c r="E21" s="57" t="s">
        <v>145</v>
      </c>
      <c r="F21" s="58" t="s">
        <v>146</v>
      </c>
      <c r="G21" s="59" t="s">
        <v>133</v>
      </c>
      <c r="H21" s="60">
        <v>8.8000000000000007</v>
      </c>
      <c r="I21" s="61">
        <v>147.30000000000001</v>
      </c>
      <c r="J21" s="60">
        <v>1296.2</v>
      </c>
      <c r="K21" s="68">
        <f t="shared" si="7"/>
        <v>-0.01</v>
      </c>
      <c r="L21" s="69">
        <f t="shared" si="1"/>
        <v>147.30000000000001</v>
      </c>
      <c r="M21" s="273">
        <f t="shared" si="2"/>
        <v>-1.4730000000000001</v>
      </c>
      <c r="N21" s="71">
        <f t="shared" si="3"/>
        <v>8.7900000000000009</v>
      </c>
      <c r="O21" s="72">
        <f t="shared" si="4"/>
        <v>147.30000000000001</v>
      </c>
      <c r="P21" s="274">
        <f t="shared" si="5"/>
        <v>1294.7670000000003</v>
      </c>
      <c r="Q21" s="237">
        <f t="shared" si="6"/>
        <v>9.2899999999999991</v>
      </c>
    </row>
    <row r="22" spans="2:21" s="121" customFormat="1" ht="16.5" customHeight="1" x14ac:dyDescent="0.2">
      <c r="B22" s="120"/>
      <c r="C22" s="56" t="s">
        <v>118</v>
      </c>
      <c r="D22" s="56" t="s">
        <v>96</v>
      </c>
      <c r="E22" s="57" t="s">
        <v>148</v>
      </c>
      <c r="F22" s="58" t="s">
        <v>149</v>
      </c>
      <c r="G22" s="59" t="s">
        <v>150</v>
      </c>
      <c r="H22" s="60">
        <v>22.34</v>
      </c>
      <c r="I22" s="61">
        <v>38.14</v>
      </c>
      <c r="J22" s="60">
        <v>852</v>
      </c>
      <c r="K22" s="68">
        <f t="shared" si="7"/>
        <v>-0.02</v>
      </c>
      <c r="L22" s="69">
        <f t="shared" si="1"/>
        <v>38.14</v>
      </c>
      <c r="M22" s="273">
        <f t="shared" si="2"/>
        <v>-0.76280000000000003</v>
      </c>
      <c r="N22" s="71">
        <f t="shared" si="3"/>
        <v>22.32</v>
      </c>
      <c r="O22" s="72">
        <f t="shared" si="4"/>
        <v>38.14</v>
      </c>
      <c r="P22" s="274">
        <f t="shared" si="5"/>
        <v>851.28480000000002</v>
      </c>
      <c r="Q22" s="237">
        <f t="shared" si="6"/>
        <v>23.58</v>
      </c>
    </row>
    <row r="23" spans="2:21" s="121" customFormat="1" ht="16.5" customHeight="1" x14ac:dyDescent="0.2">
      <c r="B23" s="120"/>
      <c r="C23" s="56" t="s">
        <v>121</v>
      </c>
      <c r="D23" s="56" t="s">
        <v>96</v>
      </c>
      <c r="E23" s="57" t="s">
        <v>155</v>
      </c>
      <c r="F23" s="58" t="s">
        <v>156</v>
      </c>
      <c r="G23" s="59" t="s">
        <v>150</v>
      </c>
      <c r="H23" s="60">
        <v>36.090000000000003</v>
      </c>
      <c r="I23" s="61">
        <v>257.77999999999997</v>
      </c>
      <c r="J23" s="60">
        <v>9303.2999999999993</v>
      </c>
      <c r="K23" s="68">
        <f t="shared" si="7"/>
        <v>-0.03</v>
      </c>
      <c r="L23" s="69">
        <f t="shared" si="1"/>
        <v>257.77999999999997</v>
      </c>
      <c r="M23" s="273">
        <f t="shared" si="2"/>
        <v>-7.7333999999999987</v>
      </c>
      <c r="N23" s="71">
        <f t="shared" si="3"/>
        <v>36.06</v>
      </c>
      <c r="O23" s="72">
        <f t="shared" si="4"/>
        <v>257.77999999999997</v>
      </c>
      <c r="P23" s="274">
        <f t="shared" si="5"/>
        <v>9295.5468000000001</v>
      </c>
      <c r="Q23" s="237">
        <f t="shared" si="6"/>
        <v>38.090000000000003</v>
      </c>
    </row>
    <row r="24" spans="2:21" s="121" customFormat="1" ht="16.5" customHeight="1" x14ac:dyDescent="0.2">
      <c r="B24" s="120"/>
      <c r="C24" s="56" t="s">
        <v>124</v>
      </c>
      <c r="D24" s="56" t="s">
        <v>96</v>
      </c>
      <c r="E24" s="57" t="s">
        <v>157</v>
      </c>
      <c r="F24" s="58" t="s">
        <v>158</v>
      </c>
      <c r="G24" s="59" t="s">
        <v>150</v>
      </c>
      <c r="H24" s="60">
        <v>235.21</v>
      </c>
      <c r="I24" s="61">
        <v>257.77999999999997</v>
      </c>
      <c r="J24" s="60">
        <v>60632.4</v>
      </c>
      <c r="K24" s="68">
        <f t="shared" si="7"/>
        <v>-0.18</v>
      </c>
      <c r="L24" s="69">
        <f t="shared" si="1"/>
        <v>257.77999999999997</v>
      </c>
      <c r="M24" s="273">
        <f t="shared" si="2"/>
        <v>-46.400399999999991</v>
      </c>
      <c r="N24" s="71">
        <f t="shared" si="3"/>
        <v>235.03</v>
      </c>
      <c r="O24" s="72">
        <f t="shared" si="4"/>
        <v>257.77999999999997</v>
      </c>
      <c r="P24" s="274">
        <f t="shared" si="5"/>
        <v>60586.033399999993</v>
      </c>
      <c r="Q24" s="237">
        <f t="shared" si="6"/>
        <v>248.25</v>
      </c>
    </row>
    <row r="25" spans="2:21" s="121" customFormat="1" ht="16.5" customHeight="1" x14ac:dyDescent="0.2">
      <c r="B25" s="120"/>
      <c r="C25" s="56" t="s">
        <v>127</v>
      </c>
      <c r="D25" s="56" t="s">
        <v>96</v>
      </c>
      <c r="E25" s="57" t="s">
        <v>160</v>
      </c>
      <c r="F25" s="58" t="s">
        <v>161</v>
      </c>
      <c r="G25" s="59" t="s">
        <v>150</v>
      </c>
      <c r="H25" s="60">
        <v>70.56</v>
      </c>
      <c r="I25" s="61">
        <v>13.15</v>
      </c>
      <c r="J25" s="60">
        <v>927.9</v>
      </c>
      <c r="K25" s="68">
        <f t="shared" si="7"/>
        <v>-0.05</v>
      </c>
      <c r="L25" s="69">
        <f t="shared" si="1"/>
        <v>13.15</v>
      </c>
      <c r="M25" s="273">
        <f t="shared" si="2"/>
        <v>-0.65750000000000008</v>
      </c>
      <c r="N25" s="71">
        <f t="shared" si="3"/>
        <v>70.510000000000005</v>
      </c>
      <c r="O25" s="72">
        <f t="shared" si="4"/>
        <v>13.15</v>
      </c>
      <c r="P25" s="274">
        <f t="shared" si="5"/>
        <v>927.20650000000012</v>
      </c>
      <c r="Q25" s="237">
        <f t="shared" si="6"/>
        <v>74.47</v>
      </c>
    </row>
    <row r="26" spans="2:21" s="121" customFormat="1" ht="16.5" customHeight="1" x14ac:dyDescent="0.2">
      <c r="B26" s="120"/>
      <c r="C26" s="56" t="s">
        <v>130</v>
      </c>
      <c r="D26" s="56" t="s">
        <v>96</v>
      </c>
      <c r="E26" s="57" t="s">
        <v>163</v>
      </c>
      <c r="F26" s="58" t="s">
        <v>164</v>
      </c>
      <c r="G26" s="59" t="s">
        <v>150</v>
      </c>
      <c r="H26" s="60">
        <v>204.11</v>
      </c>
      <c r="I26" s="61">
        <v>315.64999999999998</v>
      </c>
      <c r="J26" s="60">
        <v>64427.3</v>
      </c>
      <c r="K26" s="68">
        <f t="shared" si="7"/>
        <v>-0.16</v>
      </c>
      <c r="L26" s="69">
        <f t="shared" si="1"/>
        <v>315.64999999999998</v>
      </c>
      <c r="M26" s="273">
        <f t="shared" si="2"/>
        <v>-50.503999999999998</v>
      </c>
      <c r="N26" s="71">
        <f t="shared" si="3"/>
        <v>203.95000000000002</v>
      </c>
      <c r="O26" s="72">
        <f t="shared" si="4"/>
        <v>315.64999999999998</v>
      </c>
      <c r="P26" s="274">
        <f t="shared" si="5"/>
        <v>64376.817499999997</v>
      </c>
      <c r="Q26" s="237">
        <f t="shared" si="6"/>
        <v>215.43</v>
      </c>
    </row>
    <row r="27" spans="2:21" s="121" customFormat="1" ht="16.5" customHeight="1" x14ac:dyDescent="0.2">
      <c r="B27" s="120"/>
      <c r="C27" s="56" t="s">
        <v>134</v>
      </c>
      <c r="D27" s="56" t="s">
        <v>96</v>
      </c>
      <c r="E27" s="57" t="s">
        <v>166</v>
      </c>
      <c r="F27" s="58" t="s">
        <v>167</v>
      </c>
      <c r="G27" s="59" t="s">
        <v>150</v>
      </c>
      <c r="H27" s="60">
        <v>61.23</v>
      </c>
      <c r="I27" s="61">
        <v>15.78</v>
      </c>
      <c r="J27" s="60">
        <v>966.2</v>
      </c>
      <c r="K27" s="68">
        <f t="shared" si="7"/>
        <v>-0.05</v>
      </c>
      <c r="L27" s="69">
        <f t="shared" si="1"/>
        <v>15.78</v>
      </c>
      <c r="M27" s="273">
        <f t="shared" si="2"/>
        <v>-0.78900000000000003</v>
      </c>
      <c r="N27" s="71">
        <f t="shared" si="3"/>
        <v>61.18</v>
      </c>
      <c r="O27" s="72">
        <f t="shared" si="4"/>
        <v>15.78</v>
      </c>
      <c r="P27" s="274">
        <f t="shared" si="5"/>
        <v>965.42039999999997</v>
      </c>
      <c r="Q27" s="237">
        <f t="shared" si="6"/>
        <v>64.63</v>
      </c>
    </row>
    <row r="28" spans="2:21" s="121" customFormat="1" ht="16.5" customHeight="1" x14ac:dyDescent="0.2">
      <c r="B28" s="120"/>
      <c r="C28" s="56" t="s">
        <v>2</v>
      </c>
      <c r="D28" s="56" t="s">
        <v>96</v>
      </c>
      <c r="E28" s="57" t="s">
        <v>169</v>
      </c>
      <c r="F28" s="58" t="s">
        <v>170</v>
      </c>
      <c r="G28" s="59" t="s">
        <v>150</v>
      </c>
      <c r="H28" s="60">
        <v>16.850000000000001</v>
      </c>
      <c r="I28" s="61">
        <v>837.79</v>
      </c>
      <c r="J28" s="60">
        <v>14116.8</v>
      </c>
      <c r="K28" s="68">
        <f t="shared" si="7"/>
        <v>-0.01</v>
      </c>
      <c r="L28" s="69">
        <f t="shared" si="1"/>
        <v>837.79</v>
      </c>
      <c r="M28" s="273">
        <f t="shared" si="2"/>
        <v>-8.3779000000000003</v>
      </c>
      <c r="N28" s="71">
        <f t="shared" si="3"/>
        <v>16.84</v>
      </c>
      <c r="O28" s="72">
        <f t="shared" si="4"/>
        <v>837.79</v>
      </c>
      <c r="P28" s="274">
        <f t="shared" si="5"/>
        <v>14108.383599999999</v>
      </c>
      <c r="Q28" s="237">
        <f t="shared" si="6"/>
        <v>17.78</v>
      </c>
    </row>
    <row r="29" spans="2:21" s="121" customFormat="1" ht="16.5" customHeight="1" x14ac:dyDescent="0.2">
      <c r="B29" s="120"/>
      <c r="C29" s="56" t="s">
        <v>141</v>
      </c>
      <c r="D29" s="56" t="s">
        <v>96</v>
      </c>
      <c r="E29" s="57" t="s">
        <v>172</v>
      </c>
      <c r="F29" s="58" t="s">
        <v>173</v>
      </c>
      <c r="G29" s="59" t="s">
        <v>150</v>
      </c>
      <c r="H29" s="60">
        <v>191.8</v>
      </c>
      <c r="I29" s="61">
        <v>1116.6199999999999</v>
      </c>
      <c r="J29" s="60">
        <v>214167.7</v>
      </c>
      <c r="K29" s="68">
        <f t="shared" si="7"/>
        <v>-0.15</v>
      </c>
      <c r="L29" s="69">
        <f t="shared" si="1"/>
        <v>1116.6199999999999</v>
      </c>
      <c r="M29" s="273">
        <f t="shared" si="2"/>
        <v>-167.49299999999997</v>
      </c>
      <c r="N29" s="71">
        <f t="shared" si="3"/>
        <v>191.65</v>
      </c>
      <c r="O29" s="72">
        <f t="shared" si="4"/>
        <v>1116.6199999999999</v>
      </c>
      <c r="P29" s="274">
        <f t="shared" si="5"/>
        <v>214000.223</v>
      </c>
      <c r="Q29" s="237">
        <f t="shared" si="6"/>
        <v>202.44</v>
      </c>
    </row>
    <row r="30" spans="2:21" s="121" customFormat="1" ht="16.5" customHeight="1" x14ac:dyDescent="0.2">
      <c r="B30" s="120"/>
      <c r="C30" s="56" t="s">
        <v>144</v>
      </c>
      <c r="D30" s="56" t="s">
        <v>96</v>
      </c>
      <c r="E30" s="57" t="s">
        <v>424</v>
      </c>
      <c r="F30" s="58" t="s">
        <v>425</v>
      </c>
      <c r="G30" s="59" t="s">
        <v>133</v>
      </c>
      <c r="H30" s="60">
        <v>6.5</v>
      </c>
      <c r="I30" s="61">
        <v>9185.49</v>
      </c>
      <c r="J30" s="60">
        <v>59705.7</v>
      </c>
      <c r="K30" s="68">
        <f t="shared" si="7"/>
        <v>-0.01</v>
      </c>
      <c r="L30" s="69">
        <f t="shared" si="1"/>
        <v>9185.49</v>
      </c>
      <c r="M30" s="273">
        <f t="shared" si="2"/>
        <v>-91.854900000000001</v>
      </c>
      <c r="N30" s="71">
        <f t="shared" si="3"/>
        <v>6.49</v>
      </c>
      <c r="O30" s="72">
        <f t="shared" si="4"/>
        <v>9185.49</v>
      </c>
      <c r="P30" s="274">
        <f t="shared" si="5"/>
        <v>59613.830099999999</v>
      </c>
      <c r="Q30" s="237">
        <f t="shared" si="6"/>
        <v>6.86</v>
      </c>
      <c r="T30" s="186" t="s">
        <v>994</v>
      </c>
    </row>
    <row r="31" spans="2:21" s="121" customFormat="1" ht="16.5" customHeight="1" x14ac:dyDescent="0.2">
      <c r="B31" s="120"/>
      <c r="C31" s="73" t="s">
        <v>147</v>
      </c>
      <c r="D31" s="73" t="s">
        <v>209</v>
      </c>
      <c r="E31" s="74" t="s">
        <v>426</v>
      </c>
      <c r="F31" s="75" t="s">
        <v>427</v>
      </c>
      <c r="G31" s="76" t="s">
        <v>133</v>
      </c>
      <c r="H31" s="77">
        <v>6.5</v>
      </c>
      <c r="I31" s="78">
        <v>4018.65</v>
      </c>
      <c r="J31" s="77">
        <v>26121.200000000001</v>
      </c>
      <c r="K31" s="68">
        <f t="shared" si="7"/>
        <v>-0.01</v>
      </c>
      <c r="L31" s="69">
        <f t="shared" si="1"/>
        <v>4018.65</v>
      </c>
      <c r="M31" s="273">
        <f t="shared" si="2"/>
        <v>-40.186500000000002</v>
      </c>
      <c r="N31" s="71">
        <f t="shared" si="3"/>
        <v>6.49</v>
      </c>
      <c r="O31" s="72">
        <f t="shared" si="4"/>
        <v>4018.65</v>
      </c>
      <c r="P31" s="274">
        <f t="shared" si="5"/>
        <v>26081.038500000002</v>
      </c>
      <c r="Q31" s="237">
        <f t="shared" si="6"/>
        <v>6.86</v>
      </c>
      <c r="T31" s="186" t="s">
        <v>994</v>
      </c>
    </row>
    <row r="32" spans="2:21" s="121" customFormat="1" ht="16.5" customHeight="1" x14ac:dyDescent="0.2">
      <c r="B32" s="120"/>
      <c r="C32" s="56" t="s">
        <v>151</v>
      </c>
      <c r="D32" s="56" t="s">
        <v>96</v>
      </c>
      <c r="E32" s="57" t="s">
        <v>428</v>
      </c>
      <c r="F32" s="58" t="s">
        <v>429</v>
      </c>
      <c r="G32" s="59" t="s">
        <v>108</v>
      </c>
      <c r="H32" s="60">
        <v>49.2</v>
      </c>
      <c r="I32" s="61">
        <v>99.96</v>
      </c>
      <c r="J32" s="60">
        <v>4918</v>
      </c>
      <c r="K32" s="68">
        <f t="shared" si="7"/>
        <v>-0.04</v>
      </c>
      <c r="L32" s="69">
        <f t="shared" si="1"/>
        <v>99.96</v>
      </c>
      <c r="M32" s="273">
        <f t="shared" si="2"/>
        <v>-3.9983999999999997</v>
      </c>
      <c r="N32" s="71">
        <f t="shared" si="3"/>
        <v>49.160000000000004</v>
      </c>
      <c r="O32" s="72">
        <f t="shared" si="4"/>
        <v>99.96</v>
      </c>
      <c r="P32" s="274">
        <f t="shared" si="5"/>
        <v>4914.0335999999998</v>
      </c>
      <c r="Q32" s="237">
        <f t="shared" si="6"/>
        <v>51.93</v>
      </c>
    </row>
    <row r="33" spans="2:17" s="121" customFormat="1" ht="16.5" customHeight="1" x14ac:dyDescent="0.2">
      <c r="B33" s="120"/>
      <c r="C33" s="56" t="s">
        <v>154</v>
      </c>
      <c r="D33" s="56" t="s">
        <v>96</v>
      </c>
      <c r="E33" s="57" t="s">
        <v>430</v>
      </c>
      <c r="F33" s="58" t="s">
        <v>431</v>
      </c>
      <c r="G33" s="59" t="s">
        <v>108</v>
      </c>
      <c r="H33" s="60">
        <v>49.2</v>
      </c>
      <c r="I33" s="61">
        <v>149.94</v>
      </c>
      <c r="J33" s="60">
        <v>7377</v>
      </c>
      <c r="K33" s="68">
        <f t="shared" si="7"/>
        <v>-0.04</v>
      </c>
      <c r="L33" s="69">
        <f t="shared" si="1"/>
        <v>149.94</v>
      </c>
      <c r="M33" s="273">
        <f t="shared" si="2"/>
        <v>-5.9976000000000003</v>
      </c>
      <c r="N33" s="71">
        <f t="shared" si="3"/>
        <v>49.160000000000004</v>
      </c>
      <c r="O33" s="72">
        <f t="shared" si="4"/>
        <v>149.94</v>
      </c>
      <c r="P33" s="274">
        <f t="shared" si="5"/>
        <v>7371.0504000000001</v>
      </c>
      <c r="Q33" s="237">
        <f t="shared" si="6"/>
        <v>51.93</v>
      </c>
    </row>
    <row r="34" spans="2:17" s="121" customFormat="1" ht="16.5" customHeight="1" x14ac:dyDescent="0.2">
      <c r="B34" s="120"/>
      <c r="C34" s="56" t="s">
        <v>1</v>
      </c>
      <c r="D34" s="56" t="s">
        <v>96</v>
      </c>
      <c r="E34" s="57" t="s">
        <v>175</v>
      </c>
      <c r="F34" s="58" t="s">
        <v>176</v>
      </c>
      <c r="G34" s="59" t="s">
        <v>108</v>
      </c>
      <c r="H34" s="60">
        <v>1281.07</v>
      </c>
      <c r="I34" s="61">
        <v>99.96</v>
      </c>
      <c r="J34" s="60">
        <v>128055.8</v>
      </c>
      <c r="K34" s="68">
        <f t="shared" si="7"/>
        <v>-0.99</v>
      </c>
      <c r="L34" s="69">
        <f t="shared" si="1"/>
        <v>99.96</v>
      </c>
      <c r="M34" s="273">
        <f t="shared" si="2"/>
        <v>-98.960399999999993</v>
      </c>
      <c r="N34" s="71">
        <f t="shared" si="3"/>
        <v>1280.08</v>
      </c>
      <c r="O34" s="72">
        <f t="shared" si="4"/>
        <v>99.96</v>
      </c>
      <c r="P34" s="274">
        <f t="shared" si="5"/>
        <v>127956.79679999998</v>
      </c>
      <c r="Q34" s="237">
        <f t="shared" si="6"/>
        <v>1352.11</v>
      </c>
    </row>
    <row r="35" spans="2:17" s="121" customFormat="1" ht="16.5" customHeight="1" x14ac:dyDescent="0.2">
      <c r="B35" s="120"/>
      <c r="C35" s="56" t="s">
        <v>159</v>
      </c>
      <c r="D35" s="56" t="s">
        <v>96</v>
      </c>
      <c r="E35" s="57" t="s">
        <v>181</v>
      </c>
      <c r="F35" s="58" t="s">
        <v>182</v>
      </c>
      <c r="G35" s="59" t="s">
        <v>108</v>
      </c>
      <c r="H35" s="60">
        <v>1281.07</v>
      </c>
      <c r="I35" s="61">
        <v>149.94</v>
      </c>
      <c r="J35" s="60">
        <v>192083.6</v>
      </c>
      <c r="K35" s="68">
        <f t="shared" si="7"/>
        <v>-0.99</v>
      </c>
      <c r="L35" s="69">
        <f t="shared" si="1"/>
        <v>149.94</v>
      </c>
      <c r="M35" s="273">
        <f t="shared" si="2"/>
        <v>-148.44059999999999</v>
      </c>
      <c r="N35" s="71">
        <f t="shared" si="3"/>
        <v>1280.08</v>
      </c>
      <c r="O35" s="72">
        <f t="shared" si="4"/>
        <v>149.94</v>
      </c>
      <c r="P35" s="274">
        <f t="shared" si="5"/>
        <v>191935.19519999999</v>
      </c>
      <c r="Q35" s="237">
        <f t="shared" si="6"/>
        <v>1352.11</v>
      </c>
    </row>
    <row r="36" spans="2:17" s="121" customFormat="1" ht="16.5" customHeight="1" x14ac:dyDescent="0.2">
      <c r="B36" s="120"/>
      <c r="C36" s="56" t="s">
        <v>162</v>
      </c>
      <c r="D36" s="56" t="s">
        <v>96</v>
      </c>
      <c r="E36" s="57" t="s">
        <v>187</v>
      </c>
      <c r="F36" s="58" t="s">
        <v>188</v>
      </c>
      <c r="G36" s="59" t="s">
        <v>150</v>
      </c>
      <c r="H36" s="60">
        <v>984.79</v>
      </c>
      <c r="I36" s="61">
        <v>95.52</v>
      </c>
      <c r="J36" s="60">
        <v>94067.1</v>
      </c>
      <c r="K36" s="68">
        <f t="shared" si="7"/>
        <v>-0.76</v>
      </c>
      <c r="L36" s="69">
        <f t="shared" si="1"/>
        <v>95.52</v>
      </c>
      <c r="M36" s="273">
        <f t="shared" si="2"/>
        <v>-72.595199999999991</v>
      </c>
      <c r="N36" s="71">
        <f t="shared" si="3"/>
        <v>984.03</v>
      </c>
      <c r="O36" s="72">
        <f t="shared" si="4"/>
        <v>95.52</v>
      </c>
      <c r="P36" s="274">
        <f t="shared" si="5"/>
        <v>93994.545599999998</v>
      </c>
      <c r="Q36" s="237">
        <f t="shared" si="6"/>
        <v>1039.4000000000001</v>
      </c>
    </row>
    <row r="37" spans="2:17" s="121" customFormat="1" ht="16.5" customHeight="1" x14ac:dyDescent="0.2">
      <c r="B37" s="120"/>
      <c r="C37" s="56" t="s">
        <v>165</v>
      </c>
      <c r="D37" s="56" t="s">
        <v>96</v>
      </c>
      <c r="E37" s="57" t="s">
        <v>190</v>
      </c>
      <c r="F37" s="58" t="s">
        <v>191</v>
      </c>
      <c r="G37" s="59" t="s">
        <v>150</v>
      </c>
      <c r="H37" s="60">
        <v>309.58999999999997</v>
      </c>
      <c r="I37" s="61">
        <v>247.39</v>
      </c>
      <c r="J37" s="60">
        <v>76589.5</v>
      </c>
      <c r="K37" s="68">
        <f t="shared" si="7"/>
        <v>-0.24</v>
      </c>
      <c r="L37" s="69">
        <f t="shared" si="1"/>
        <v>247.39</v>
      </c>
      <c r="M37" s="273">
        <f t="shared" si="2"/>
        <v>-59.373599999999996</v>
      </c>
      <c r="N37" s="71">
        <f t="shared" si="3"/>
        <v>309.34999999999997</v>
      </c>
      <c r="O37" s="72">
        <f t="shared" si="4"/>
        <v>247.39</v>
      </c>
      <c r="P37" s="274">
        <f t="shared" si="5"/>
        <v>76530.096499999985</v>
      </c>
      <c r="Q37" s="237">
        <f t="shared" si="6"/>
        <v>326.76</v>
      </c>
    </row>
    <row r="38" spans="2:17" s="121" customFormat="1" ht="16.5" customHeight="1" x14ac:dyDescent="0.2">
      <c r="B38" s="120"/>
      <c r="C38" s="56" t="s">
        <v>168</v>
      </c>
      <c r="D38" s="56" t="s">
        <v>96</v>
      </c>
      <c r="E38" s="57" t="s">
        <v>193</v>
      </c>
      <c r="F38" s="58" t="s">
        <v>194</v>
      </c>
      <c r="G38" s="59" t="s">
        <v>150</v>
      </c>
      <c r="H38" s="60">
        <v>309.58999999999997</v>
      </c>
      <c r="I38" s="61">
        <v>44.72</v>
      </c>
      <c r="J38" s="60">
        <v>13844.9</v>
      </c>
      <c r="K38" s="68">
        <f t="shared" si="7"/>
        <v>-0.24</v>
      </c>
      <c r="L38" s="69">
        <f t="shared" si="1"/>
        <v>44.72</v>
      </c>
      <c r="M38" s="273">
        <f t="shared" si="2"/>
        <v>-10.732799999999999</v>
      </c>
      <c r="N38" s="71">
        <f t="shared" si="3"/>
        <v>309.34999999999997</v>
      </c>
      <c r="O38" s="72">
        <f t="shared" si="4"/>
        <v>44.72</v>
      </c>
      <c r="P38" s="274">
        <f t="shared" si="5"/>
        <v>13834.131999999998</v>
      </c>
      <c r="Q38" s="237">
        <f t="shared" si="6"/>
        <v>326.76</v>
      </c>
    </row>
    <row r="39" spans="2:17" s="121" customFormat="1" ht="16.5" customHeight="1" x14ac:dyDescent="0.2">
      <c r="B39" s="120"/>
      <c r="C39" s="56" t="s">
        <v>171</v>
      </c>
      <c r="D39" s="56" t="s">
        <v>96</v>
      </c>
      <c r="E39" s="57" t="s">
        <v>196</v>
      </c>
      <c r="F39" s="58" t="s">
        <v>197</v>
      </c>
      <c r="G39" s="59" t="s">
        <v>150</v>
      </c>
      <c r="H39" s="60">
        <v>309.58999999999997</v>
      </c>
      <c r="I39" s="61">
        <v>11.84</v>
      </c>
      <c r="J39" s="60">
        <v>3665.5</v>
      </c>
      <c r="K39" s="68">
        <f t="shared" si="7"/>
        <v>-0.24</v>
      </c>
      <c r="L39" s="69">
        <f t="shared" si="1"/>
        <v>11.84</v>
      </c>
      <c r="M39" s="273">
        <f t="shared" si="2"/>
        <v>-2.8415999999999997</v>
      </c>
      <c r="N39" s="71">
        <f t="shared" si="3"/>
        <v>309.34999999999997</v>
      </c>
      <c r="O39" s="72">
        <f t="shared" si="4"/>
        <v>11.84</v>
      </c>
      <c r="P39" s="274">
        <f t="shared" si="5"/>
        <v>3662.7039999999997</v>
      </c>
      <c r="Q39" s="237">
        <f t="shared" si="6"/>
        <v>326.76</v>
      </c>
    </row>
    <row r="40" spans="2:17" s="121" customFormat="1" ht="16.5" customHeight="1" x14ac:dyDescent="0.2">
      <c r="B40" s="120"/>
      <c r="C40" s="56" t="s">
        <v>174</v>
      </c>
      <c r="D40" s="56" t="s">
        <v>96</v>
      </c>
      <c r="E40" s="57" t="s">
        <v>199</v>
      </c>
      <c r="F40" s="58" t="s">
        <v>200</v>
      </c>
      <c r="G40" s="59" t="s">
        <v>201</v>
      </c>
      <c r="H40" s="60">
        <v>619.17999999999995</v>
      </c>
      <c r="I40" s="61">
        <v>116</v>
      </c>
      <c r="J40" s="60">
        <v>71824.899999999994</v>
      </c>
      <c r="K40" s="68">
        <f t="shared" si="7"/>
        <v>-0.48</v>
      </c>
      <c r="L40" s="69">
        <f t="shared" si="1"/>
        <v>116</v>
      </c>
      <c r="M40" s="273">
        <f t="shared" si="2"/>
        <v>-55.68</v>
      </c>
      <c r="N40" s="71">
        <f t="shared" si="3"/>
        <v>618.69999999999993</v>
      </c>
      <c r="O40" s="72">
        <f t="shared" si="4"/>
        <v>116</v>
      </c>
      <c r="P40" s="274">
        <f t="shared" si="5"/>
        <v>71769.2</v>
      </c>
      <c r="Q40" s="237">
        <f t="shared" si="6"/>
        <v>653.52</v>
      </c>
    </row>
    <row r="41" spans="2:17" s="121" customFormat="1" ht="16.5" customHeight="1" x14ac:dyDescent="0.2">
      <c r="B41" s="120"/>
      <c r="C41" s="56" t="s">
        <v>177</v>
      </c>
      <c r="D41" s="56" t="s">
        <v>96</v>
      </c>
      <c r="E41" s="57" t="s">
        <v>203</v>
      </c>
      <c r="F41" s="58" t="s">
        <v>204</v>
      </c>
      <c r="G41" s="59" t="s">
        <v>150</v>
      </c>
      <c r="H41" s="60">
        <v>415.4</v>
      </c>
      <c r="I41" s="61">
        <v>143.36000000000001</v>
      </c>
      <c r="J41" s="60">
        <v>59551.7</v>
      </c>
      <c r="K41" s="68">
        <f t="shared" si="7"/>
        <v>-0.32</v>
      </c>
      <c r="L41" s="69">
        <f t="shared" si="1"/>
        <v>143.36000000000001</v>
      </c>
      <c r="M41" s="273">
        <f t="shared" si="2"/>
        <v>-45.875200000000007</v>
      </c>
      <c r="N41" s="71">
        <f t="shared" si="3"/>
        <v>415.08</v>
      </c>
      <c r="O41" s="72">
        <f t="shared" si="4"/>
        <v>143.36000000000001</v>
      </c>
      <c r="P41" s="274">
        <f t="shared" si="5"/>
        <v>59505.868800000004</v>
      </c>
      <c r="Q41" s="237">
        <f t="shared" si="6"/>
        <v>438.44</v>
      </c>
    </row>
    <row r="42" spans="2:17" s="121" customFormat="1" ht="16.5" customHeight="1" x14ac:dyDescent="0.2">
      <c r="B42" s="120"/>
      <c r="C42" s="73" t="s">
        <v>180</v>
      </c>
      <c r="D42" s="73" t="s">
        <v>209</v>
      </c>
      <c r="E42" s="74" t="s">
        <v>432</v>
      </c>
      <c r="F42" s="75" t="s">
        <v>433</v>
      </c>
      <c r="G42" s="76" t="s">
        <v>201</v>
      </c>
      <c r="H42" s="77">
        <v>157.16</v>
      </c>
      <c r="I42" s="78">
        <v>412.45</v>
      </c>
      <c r="J42" s="77">
        <v>64820.6</v>
      </c>
      <c r="K42" s="68">
        <f t="shared" si="7"/>
        <v>-0.12</v>
      </c>
      <c r="L42" s="69">
        <f t="shared" si="1"/>
        <v>412.45</v>
      </c>
      <c r="M42" s="273">
        <f t="shared" si="2"/>
        <v>-49.494</v>
      </c>
      <c r="N42" s="71">
        <f t="shared" si="3"/>
        <v>157.04</v>
      </c>
      <c r="O42" s="72">
        <f t="shared" si="4"/>
        <v>412.45</v>
      </c>
      <c r="P42" s="274">
        <f t="shared" si="5"/>
        <v>64771.147999999994</v>
      </c>
      <c r="Q42" s="237">
        <f t="shared" si="6"/>
        <v>165.88</v>
      </c>
    </row>
    <row r="43" spans="2:17" s="121" customFormat="1" ht="16.5" customHeight="1" x14ac:dyDescent="0.2">
      <c r="B43" s="120"/>
      <c r="C43" s="56" t="s">
        <v>183</v>
      </c>
      <c r="D43" s="56" t="s">
        <v>96</v>
      </c>
      <c r="E43" s="57" t="s">
        <v>206</v>
      </c>
      <c r="F43" s="58" t="s">
        <v>207</v>
      </c>
      <c r="G43" s="59" t="s">
        <v>150</v>
      </c>
      <c r="H43" s="60">
        <v>152.36000000000001</v>
      </c>
      <c r="I43" s="61">
        <v>318.27999999999997</v>
      </c>
      <c r="J43" s="60">
        <v>48493.1</v>
      </c>
      <c r="K43" s="68">
        <f t="shared" si="7"/>
        <v>-0.12</v>
      </c>
      <c r="L43" s="69">
        <f t="shared" si="1"/>
        <v>318.27999999999997</v>
      </c>
      <c r="M43" s="273">
        <f t="shared" si="2"/>
        <v>-38.193599999999996</v>
      </c>
      <c r="N43" s="71">
        <f t="shared" si="3"/>
        <v>152.24</v>
      </c>
      <c r="O43" s="72">
        <f t="shared" si="4"/>
        <v>318.27999999999997</v>
      </c>
      <c r="P43" s="274">
        <f t="shared" si="5"/>
        <v>48454.947200000002</v>
      </c>
      <c r="Q43" s="237">
        <f t="shared" si="6"/>
        <v>160.81</v>
      </c>
    </row>
    <row r="44" spans="2:17" s="121" customFormat="1" ht="16.5" customHeight="1" x14ac:dyDescent="0.2">
      <c r="B44" s="120"/>
      <c r="C44" s="73" t="s">
        <v>186</v>
      </c>
      <c r="D44" s="73" t="s">
        <v>209</v>
      </c>
      <c r="E44" s="74" t="s">
        <v>210</v>
      </c>
      <c r="F44" s="75" t="s">
        <v>211</v>
      </c>
      <c r="G44" s="76" t="s">
        <v>201</v>
      </c>
      <c r="H44" s="77">
        <v>304.72000000000003</v>
      </c>
      <c r="I44" s="78">
        <v>172.71</v>
      </c>
      <c r="J44" s="77">
        <v>52628.2</v>
      </c>
      <c r="K44" s="68">
        <f t="shared" si="7"/>
        <v>-0.24</v>
      </c>
      <c r="L44" s="69">
        <f t="shared" si="1"/>
        <v>172.71</v>
      </c>
      <c r="M44" s="273">
        <f t="shared" si="2"/>
        <v>-41.450400000000002</v>
      </c>
      <c r="N44" s="71">
        <f t="shared" si="3"/>
        <v>304.48</v>
      </c>
      <c r="O44" s="72">
        <f t="shared" si="4"/>
        <v>172.71</v>
      </c>
      <c r="P44" s="274">
        <f t="shared" si="5"/>
        <v>52586.740800000007</v>
      </c>
      <c r="Q44" s="237">
        <f t="shared" si="6"/>
        <v>321.62</v>
      </c>
    </row>
    <row r="45" spans="2:17" s="121" customFormat="1" ht="16.5" customHeight="1" x14ac:dyDescent="0.2">
      <c r="B45" s="120"/>
      <c r="C45" s="56" t="s">
        <v>189</v>
      </c>
      <c r="D45" s="56" t="s">
        <v>96</v>
      </c>
      <c r="E45" s="57" t="s">
        <v>213</v>
      </c>
      <c r="F45" s="58" t="s">
        <v>214</v>
      </c>
      <c r="G45" s="59" t="s">
        <v>108</v>
      </c>
      <c r="H45" s="60">
        <v>55.84</v>
      </c>
      <c r="I45" s="61">
        <v>53.92</v>
      </c>
      <c r="J45" s="60">
        <v>3010.9</v>
      </c>
      <c r="K45" s="68">
        <f t="shared" si="7"/>
        <v>-0.04</v>
      </c>
      <c r="L45" s="69">
        <f t="shared" si="1"/>
        <v>53.92</v>
      </c>
      <c r="M45" s="273">
        <f t="shared" si="2"/>
        <v>-2.1568000000000001</v>
      </c>
      <c r="N45" s="71">
        <f t="shared" si="3"/>
        <v>55.800000000000004</v>
      </c>
      <c r="O45" s="72">
        <f t="shared" si="4"/>
        <v>53.92</v>
      </c>
      <c r="P45" s="274">
        <f t="shared" si="5"/>
        <v>3008.7360000000003</v>
      </c>
      <c r="Q45" s="237">
        <f t="shared" si="6"/>
        <v>58.94</v>
      </c>
    </row>
    <row r="46" spans="2:17" s="170" customFormat="1" ht="22.9" customHeight="1" x14ac:dyDescent="0.2">
      <c r="B46" s="165"/>
      <c r="C46" s="252"/>
      <c r="D46" s="253" t="s">
        <v>4</v>
      </c>
      <c r="E46" s="254" t="s">
        <v>13</v>
      </c>
      <c r="F46" s="254" t="s">
        <v>222</v>
      </c>
      <c r="G46" s="252"/>
      <c r="H46" s="252"/>
      <c r="I46" s="255"/>
      <c r="J46" s="256">
        <f>+SUBTOTAL(9,J47:J48)</f>
        <v>10217.699999999999</v>
      </c>
      <c r="K46" s="261"/>
      <c r="L46" s="262"/>
      <c r="M46" s="279">
        <f>SUM(M47:M48)</f>
        <v>-7.8920000000000003</v>
      </c>
      <c r="N46" s="280"/>
      <c r="O46" s="262"/>
      <c r="P46" s="279">
        <f>SUM(P47:P48)</f>
        <v>10209.880400000002</v>
      </c>
      <c r="Q46" s="237">
        <f t="shared" si="6"/>
        <v>0</v>
      </c>
    </row>
    <row r="47" spans="2:17" s="121" customFormat="1" ht="16.5" customHeight="1" x14ac:dyDescent="0.2">
      <c r="B47" s="120"/>
      <c r="C47" s="56" t="s">
        <v>192</v>
      </c>
      <c r="D47" s="56" t="s">
        <v>96</v>
      </c>
      <c r="E47" s="57" t="s">
        <v>224</v>
      </c>
      <c r="F47" s="58" t="s">
        <v>225</v>
      </c>
      <c r="G47" s="59" t="s">
        <v>133</v>
      </c>
      <c r="H47" s="60">
        <v>258.94</v>
      </c>
      <c r="I47" s="61">
        <v>32.880000000000003</v>
      </c>
      <c r="J47" s="60">
        <v>8513.9</v>
      </c>
      <c r="K47" s="68">
        <f t="shared" si="7"/>
        <v>-0.2</v>
      </c>
      <c r="L47" s="69">
        <f t="shared" si="1"/>
        <v>32.880000000000003</v>
      </c>
      <c r="M47" s="273">
        <f t="shared" si="2"/>
        <v>-6.5760000000000005</v>
      </c>
      <c r="N47" s="71">
        <f t="shared" si="3"/>
        <v>258.74</v>
      </c>
      <c r="O47" s="72">
        <f t="shared" si="4"/>
        <v>32.880000000000003</v>
      </c>
      <c r="P47" s="274">
        <f t="shared" si="5"/>
        <v>8507.3712000000014</v>
      </c>
      <c r="Q47" s="237">
        <f t="shared" si="6"/>
        <v>273.3</v>
      </c>
    </row>
    <row r="48" spans="2:17" s="121" customFormat="1" ht="16.5" customHeight="1" x14ac:dyDescent="0.2">
      <c r="B48" s="120"/>
      <c r="C48" s="56" t="s">
        <v>195</v>
      </c>
      <c r="D48" s="56" t="s">
        <v>96</v>
      </c>
      <c r="E48" s="57" t="s">
        <v>227</v>
      </c>
      <c r="F48" s="58" t="s">
        <v>228</v>
      </c>
      <c r="G48" s="59" t="s">
        <v>133</v>
      </c>
      <c r="H48" s="60">
        <v>258.94</v>
      </c>
      <c r="I48" s="61">
        <v>6.58</v>
      </c>
      <c r="J48" s="60">
        <v>1703.8</v>
      </c>
      <c r="K48" s="68">
        <f t="shared" si="7"/>
        <v>-0.2</v>
      </c>
      <c r="L48" s="69">
        <f t="shared" si="1"/>
        <v>6.58</v>
      </c>
      <c r="M48" s="273">
        <f t="shared" si="2"/>
        <v>-1.3160000000000001</v>
      </c>
      <c r="N48" s="71">
        <f t="shared" si="3"/>
        <v>258.74</v>
      </c>
      <c r="O48" s="72">
        <f t="shared" si="4"/>
        <v>6.58</v>
      </c>
      <c r="P48" s="274">
        <f t="shared" si="5"/>
        <v>1702.5092000000002</v>
      </c>
      <c r="Q48" s="237">
        <f t="shared" si="6"/>
        <v>273.3</v>
      </c>
    </row>
    <row r="49" spans="2:23" s="170" customFormat="1" ht="22.9" customHeight="1" x14ac:dyDescent="0.2">
      <c r="B49" s="165"/>
      <c r="C49" s="252"/>
      <c r="D49" s="253" t="s">
        <v>4</v>
      </c>
      <c r="E49" s="254" t="s">
        <v>100</v>
      </c>
      <c r="F49" s="254" t="s">
        <v>229</v>
      </c>
      <c r="G49" s="252"/>
      <c r="H49" s="252"/>
      <c r="I49" s="255"/>
      <c r="J49" s="256">
        <f>+SUBTOTAL(9,J50:J55)</f>
        <v>128042.79999999999</v>
      </c>
      <c r="K49" s="261"/>
      <c r="L49" s="262"/>
      <c r="M49" s="279">
        <f>SUM(M50:M55)</f>
        <v>-97.174799999999991</v>
      </c>
      <c r="N49" s="280"/>
      <c r="O49" s="262"/>
      <c r="P49" s="279">
        <f>SUM(P50:P55)</f>
        <v>127945.61470000001</v>
      </c>
      <c r="Q49" s="237">
        <f t="shared" si="6"/>
        <v>0</v>
      </c>
    </row>
    <row r="50" spans="2:23" s="121" customFormat="1" ht="16.5" customHeight="1" x14ac:dyDescent="0.2">
      <c r="B50" s="120"/>
      <c r="C50" s="56" t="s">
        <v>198</v>
      </c>
      <c r="D50" s="56" t="s">
        <v>96</v>
      </c>
      <c r="E50" s="57" t="s">
        <v>231</v>
      </c>
      <c r="F50" s="58" t="s">
        <v>232</v>
      </c>
      <c r="G50" s="59" t="s">
        <v>99</v>
      </c>
      <c r="H50" s="60">
        <v>5</v>
      </c>
      <c r="I50" s="61">
        <v>122.32</v>
      </c>
      <c r="J50" s="60">
        <v>611.6</v>
      </c>
      <c r="K50" s="68">
        <v>0</v>
      </c>
      <c r="L50" s="69">
        <f t="shared" si="1"/>
        <v>122.32</v>
      </c>
      <c r="M50" s="273">
        <f t="shared" si="2"/>
        <v>0</v>
      </c>
      <c r="N50" s="71">
        <f t="shared" si="3"/>
        <v>5</v>
      </c>
      <c r="O50" s="72">
        <f t="shared" si="4"/>
        <v>122.32</v>
      </c>
      <c r="P50" s="274">
        <f t="shared" si="5"/>
        <v>611.59999999999991</v>
      </c>
      <c r="Q50" s="237">
        <f t="shared" si="6"/>
        <v>5.28</v>
      </c>
    </row>
    <row r="51" spans="2:23" s="121" customFormat="1" ht="16.5" customHeight="1" x14ac:dyDescent="0.2">
      <c r="B51" s="120"/>
      <c r="C51" s="73" t="s">
        <v>202</v>
      </c>
      <c r="D51" s="73" t="s">
        <v>209</v>
      </c>
      <c r="E51" s="74" t="s">
        <v>240</v>
      </c>
      <c r="F51" s="75" t="s">
        <v>241</v>
      </c>
      <c r="G51" s="76" t="s">
        <v>99</v>
      </c>
      <c r="H51" s="77">
        <v>5</v>
      </c>
      <c r="I51" s="78">
        <v>270.94</v>
      </c>
      <c r="J51" s="77">
        <v>1354.7</v>
      </c>
      <c r="K51" s="68">
        <v>0</v>
      </c>
      <c r="L51" s="69">
        <f t="shared" si="1"/>
        <v>270.94</v>
      </c>
      <c r="M51" s="273">
        <f t="shared" si="2"/>
        <v>0</v>
      </c>
      <c r="N51" s="71">
        <f t="shared" si="3"/>
        <v>5</v>
      </c>
      <c r="O51" s="72">
        <f t="shared" si="4"/>
        <v>270.94</v>
      </c>
      <c r="P51" s="274">
        <f t="shared" si="5"/>
        <v>1354.7</v>
      </c>
      <c r="Q51" s="237">
        <f t="shared" si="6"/>
        <v>5.28</v>
      </c>
    </row>
    <row r="52" spans="2:23" s="121" customFormat="1" ht="16.5" customHeight="1" x14ac:dyDescent="0.2">
      <c r="B52" s="120"/>
      <c r="C52" s="56" t="s">
        <v>205</v>
      </c>
      <c r="D52" s="56" t="s">
        <v>96</v>
      </c>
      <c r="E52" s="57" t="s">
        <v>246</v>
      </c>
      <c r="F52" s="58" t="s">
        <v>247</v>
      </c>
      <c r="G52" s="59" t="s">
        <v>99</v>
      </c>
      <c r="H52" s="60">
        <v>6</v>
      </c>
      <c r="I52" s="61">
        <v>152.57</v>
      </c>
      <c r="J52" s="60">
        <v>915.4</v>
      </c>
      <c r="K52" s="68">
        <v>0</v>
      </c>
      <c r="L52" s="69">
        <f t="shared" si="1"/>
        <v>152.57</v>
      </c>
      <c r="M52" s="273">
        <f t="shared" si="2"/>
        <v>0</v>
      </c>
      <c r="N52" s="71">
        <f t="shared" si="3"/>
        <v>6</v>
      </c>
      <c r="O52" s="72">
        <f t="shared" si="4"/>
        <v>152.57</v>
      </c>
      <c r="P52" s="274">
        <f t="shared" si="5"/>
        <v>915.42</v>
      </c>
      <c r="Q52" s="237">
        <f t="shared" si="6"/>
        <v>6.33</v>
      </c>
    </row>
    <row r="53" spans="2:23" s="121" customFormat="1" ht="16.5" customHeight="1" x14ac:dyDescent="0.2">
      <c r="B53" s="120"/>
      <c r="C53" s="73" t="s">
        <v>208</v>
      </c>
      <c r="D53" s="73" t="s">
        <v>209</v>
      </c>
      <c r="E53" s="74" t="s">
        <v>249</v>
      </c>
      <c r="F53" s="75" t="s">
        <v>250</v>
      </c>
      <c r="G53" s="76" t="s">
        <v>99</v>
      </c>
      <c r="H53" s="77">
        <v>6</v>
      </c>
      <c r="I53" s="78">
        <v>395.88</v>
      </c>
      <c r="J53" s="77">
        <v>2375.3000000000002</v>
      </c>
      <c r="K53" s="68">
        <v>0</v>
      </c>
      <c r="L53" s="69">
        <f t="shared" si="1"/>
        <v>395.88</v>
      </c>
      <c r="M53" s="273">
        <f t="shared" si="2"/>
        <v>0</v>
      </c>
      <c r="N53" s="71">
        <f t="shared" si="3"/>
        <v>6</v>
      </c>
      <c r="O53" s="72">
        <f t="shared" si="4"/>
        <v>395.88</v>
      </c>
      <c r="P53" s="274">
        <f t="shared" si="5"/>
        <v>2375.2799999999997</v>
      </c>
      <c r="Q53" s="237">
        <f t="shared" si="6"/>
        <v>6.33</v>
      </c>
    </row>
    <row r="54" spans="2:23" s="121" customFormat="1" ht="16.5" customHeight="1" x14ac:dyDescent="0.2">
      <c r="B54" s="120"/>
      <c r="C54" s="56" t="s">
        <v>212</v>
      </c>
      <c r="D54" s="56" t="s">
        <v>96</v>
      </c>
      <c r="E54" s="57" t="s">
        <v>252</v>
      </c>
      <c r="F54" s="58" t="s">
        <v>253</v>
      </c>
      <c r="G54" s="59" t="s">
        <v>150</v>
      </c>
      <c r="H54" s="60">
        <v>35.200000000000003</v>
      </c>
      <c r="I54" s="61">
        <v>3239.16</v>
      </c>
      <c r="J54" s="60">
        <v>114018.4</v>
      </c>
      <c r="K54" s="68">
        <f t="shared" ref="K54" si="8">ROUND(273.1/273.3*Q54-Q54,2)</f>
        <v>-0.03</v>
      </c>
      <c r="L54" s="69">
        <f t="shared" si="1"/>
        <v>3239.16</v>
      </c>
      <c r="M54" s="273">
        <f t="shared" si="2"/>
        <v>-97.174799999999991</v>
      </c>
      <c r="N54" s="71">
        <f t="shared" si="3"/>
        <v>35.17</v>
      </c>
      <c r="O54" s="72">
        <f t="shared" si="4"/>
        <v>3239.16</v>
      </c>
      <c r="P54" s="274">
        <f t="shared" si="5"/>
        <v>113921.25720000001</v>
      </c>
      <c r="Q54" s="237">
        <f t="shared" si="6"/>
        <v>37.15</v>
      </c>
    </row>
    <row r="55" spans="2:23" s="121" customFormat="1" ht="23.25" customHeight="1" x14ac:dyDescent="0.2">
      <c r="B55" s="120"/>
      <c r="C55" s="56" t="s">
        <v>215</v>
      </c>
      <c r="D55" s="56" t="s">
        <v>96</v>
      </c>
      <c r="E55" s="57" t="s">
        <v>255</v>
      </c>
      <c r="F55" s="58" t="s">
        <v>256</v>
      </c>
      <c r="G55" s="59" t="s">
        <v>150</v>
      </c>
      <c r="H55" s="60">
        <v>2.75</v>
      </c>
      <c r="I55" s="61">
        <v>3188.13</v>
      </c>
      <c r="J55" s="60">
        <v>8767.4</v>
      </c>
      <c r="K55" s="68">
        <f t="shared" ref="K55" si="9">ROUND(273.1/273.3*H55-H55,2)</f>
        <v>0</v>
      </c>
      <c r="L55" s="69">
        <f t="shared" si="1"/>
        <v>3188.13</v>
      </c>
      <c r="M55" s="273">
        <f t="shared" si="2"/>
        <v>0</v>
      </c>
      <c r="N55" s="71">
        <f t="shared" si="3"/>
        <v>2.75</v>
      </c>
      <c r="O55" s="72">
        <f t="shared" si="4"/>
        <v>3188.13</v>
      </c>
      <c r="P55" s="274">
        <f t="shared" si="5"/>
        <v>8767.3575000000001</v>
      </c>
      <c r="Q55" s="237">
        <f t="shared" si="6"/>
        <v>2.9</v>
      </c>
      <c r="R55" s="121" t="s">
        <v>972</v>
      </c>
      <c r="S55" s="186" t="s">
        <v>979</v>
      </c>
      <c r="T55" s="190" t="s">
        <v>995</v>
      </c>
      <c r="U55" s="190" t="s">
        <v>1007</v>
      </c>
      <c r="V55" s="190" t="s">
        <v>1007</v>
      </c>
      <c r="W55" s="121" t="s">
        <v>931</v>
      </c>
    </row>
    <row r="56" spans="2:23" s="170" customFormat="1" ht="22.9" customHeight="1" x14ac:dyDescent="0.2">
      <c r="B56" s="165"/>
      <c r="C56" s="252"/>
      <c r="D56" s="253" t="s">
        <v>4</v>
      </c>
      <c r="E56" s="254" t="s">
        <v>105</v>
      </c>
      <c r="F56" s="254" t="s">
        <v>257</v>
      </c>
      <c r="G56" s="252"/>
      <c r="H56" s="252"/>
      <c r="I56" s="255"/>
      <c r="J56" s="256">
        <f>+SUBTOTAL(9,J57:J63)</f>
        <v>427886.9</v>
      </c>
      <c r="K56" s="261"/>
      <c r="L56" s="262"/>
      <c r="M56" s="279">
        <f>SUM(M57:M63)</f>
        <v>0</v>
      </c>
      <c r="N56" s="280"/>
      <c r="O56" s="262"/>
      <c r="P56" s="279">
        <f>SUM(P57:P63)</f>
        <v>427887.071</v>
      </c>
      <c r="Q56" s="237">
        <f t="shared" si="6"/>
        <v>0</v>
      </c>
    </row>
    <row r="57" spans="2:23" s="121" customFormat="1" ht="16.5" customHeight="1" x14ac:dyDescent="0.2">
      <c r="B57" s="120"/>
      <c r="C57" s="56" t="s">
        <v>219</v>
      </c>
      <c r="D57" s="56" t="s">
        <v>96</v>
      </c>
      <c r="E57" s="57" t="s">
        <v>434</v>
      </c>
      <c r="F57" s="58" t="s">
        <v>435</v>
      </c>
      <c r="G57" s="59" t="s">
        <v>108</v>
      </c>
      <c r="H57" s="60">
        <v>67.849999999999994</v>
      </c>
      <c r="I57" s="61">
        <v>206.97</v>
      </c>
      <c r="J57" s="60">
        <v>14042.9</v>
      </c>
      <c r="K57" s="68">
        <v>0</v>
      </c>
      <c r="L57" s="69">
        <f t="shared" si="1"/>
        <v>206.97</v>
      </c>
      <c r="M57" s="273">
        <f t="shared" si="2"/>
        <v>0</v>
      </c>
      <c r="N57" s="71">
        <f t="shared" si="3"/>
        <v>67.849999999999994</v>
      </c>
      <c r="O57" s="72">
        <f t="shared" si="4"/>
        <v>206.97</v>
      </c>
      <c r="P57" s="274">
        <f t="shared" si="5"/>
        <v>14042.914499999999</v>
      </c>
      <c r="Q57" s="237">
        <f t="shared" si="6"/>
        <v>71.61</v>
      </c>
    </row>
    <row r="58" spans="2:23" s="121" customFormat="1" ht="16.5" customHeight="1" x14ac:dyDescent="0.2">
      <c r="B58" s="120"/>
      <c r="C58" s="56" t="s">
        <v>223</v>
      </c>
      <c r="D58" s="56" t="s">
        <v>96</v>
      </c>
      <c r="E58" s="57" t="s">
        <v>262</v>
      </c>
      <c r="F58" s="58" t="s">
        <v>263</v>
      </c>
      <c r="G58" s="59" t="s">
        <v>108</v>
      </c>
      <c r="H58" s="60">
        <v>176</v>
      </c>
      <c r="I58" s="61">
        <v>302.54000000000002</v>
      </c>
      <c r="J58" s="60">
        <v>53247</v>
      </c>
      <c r="K58" s="68">
        <v>0</v>
      </c>
      <c r="L58" s="69">
        <f t="shared" si="1"/>
        <v>302.54000000000002</v>
      </c>
      <c r="M58" s="273">
        <f t="shared" si="2"/>
        <v>0</v>
      </c>
      <c r="N58" s="71">
        <f t="shared" si="3"/>
        <v>176</v>
      </c>
      <c r="O58" s="72">
        <f t="shared" si="4"/>
        <v>302.54000000000002</v>
      </c>
      <c r="P58" s="274">
        <f t="shared" si="5"/>
        <v>53247.040000000001</v>
      </c>
      <c r="Q58" s="237">
        <f t="shared" si="6"/>
        <v>185.76</v>
      </c>
    </row>
    <row r="59" spans="2:23" s="121" customFormat="1" ht="16.5" customHeight="1" x14ac:dyDescent="0.2">
      <c r="B59" s="120"/>
      <c r="C59" s="56" t="s">
        <v>226</v>
      </c>
      <c r="D59" s="56" t="s">
        <v>96</v>
      </c>
      <c r="E59" s="57" t="s">
        <v>436</v>
      </c>
      <c r="F59" s="58" t="s">
        <v>437</v>
      </c>
      <c r="G59" s="59" t="s">
        <v>108</v>
      </c>
      <c r="H59" s="60">
        <v>67.849999999999994</v>
      </c>
      <c r="I59" s="61">
        <v>412.07</v>
      </c>
      <c r="J59" s="60">
        <v>27958.9</v>
      </c>
      <c r="K59" s="68">
        <v>0</v>
      </c>
      <c r="L59" s="69">
        <f t="shared" si="1"/>
        <v>412.07</v>
      </c>
      <c r="M59" s="273">
        <f t="shared" si="2"/>
        <v>0</v>
      </c>
      <c r="N59" s="71">
        <f t="shared" si="3"/>
        <v>67.849999999999994</v>
      </c>
      <c r="O59" s="72">
        <f t="shared" si="4"/>
        <v>412.07</v>
      </c>
      <c r="P59" s="274">
        <f t="shared" si="5"/>
        <v>27958.949499999999</v>
      </c>
      <c r="Q59" s="237">
        <f t="shared" si="6"/>
        <v>71.61</v>
      </c>
    </row>
    <row r="60" spans="2:23" s="121" customFormat="1" ht="16.5" customHeight="1" x14ac:dyDescent="0.2">
      <c r="B60" s="120"/>
      <c r="C60" s="56" t="s">
        <v>230</v>
      </c>
      <c r="D60" s="56" t="s">
        <v>96</v>
      </c>
      <c r="E60" s="57" t="s">
        <v>268</v>
      </c>
      <c r="F60" s="58" t="s">
        <v>269</v>
      </c>
      <c r="G60" s="59" t="s">
        <v>108</v>
      </c>
      <c r="H60" s="60">
        <v>243.85</v>
      </c>
      <c r="I60" s="61">
        <v>14.18</v>
      </c>
      <c r="J60" s="60">
        <v>3457.8</v>
      </c>
      <c r="K60" s="68">
        <v>0</v>
      </c>
      <c r="L60" s="69">
        <f t="shared" si="1"/>
        <v>14.18</v>
      </c>
      <c r="M60" s="273">
        <f t="shared" si="2"/>
        <v>0</v>
      </c>
      <c r="N60" s="71">
        <f t="shared" si="3"/>
        <v>243.85</v>
      </c>
      <c r="O60" s="72">
        <f t="shared" si="4"/>
        <v>14.18</v>
      </c>
      <c r="P60" s="274">
        <f t="shared" si="5"/>
        <v>3457.7929999999997</v>
      </c>
      <c r="Q60" s="237">
        <f t="shared" si="6"/>
        <v>257.37</v>
      </c>
    </row>
    <row r="61" spans="2:23" s="121" customFormat="1" ht="16.5" customHeight="1" x14ac:dyDescent="0.2">
      <c r="B61" s="120"/>
      <c r="C61" s="56" t="s">
        <v>233</v>
      </c>
      <c r="D61" s="56" t="s">
        <v>96</v>
      </c>
      <c r="E61" s="57" t="s">
        <v>271</v>
      </c>
      <c r="F61" s="58" t="s">
        <v>272</v>
      </c>
      <c r="G61" s="59" t="s">
        <v>108</v>
      </c>
      <c r="H61" s="60">
        <v>461.85</v>
      </c>
      <c r="I61" s="61">
        <v>20.62</v>
      </c>
      <c r="J61" s="60">
        <v>9523.2999999999993</v>
      </c>
      <c r="K61" s="68">
        <v>0</v>
      </c>
      <c r="L61" s="69">
        <f t="shared" si="1"/>
        <v>20.62</v>
      </c>
      <c r="M61" s="273">
        <f t="shared" si="2"/>
        <v>0</v>
      </c>
      <c r="N61" s="71">
        <f t="shared" si="3"/>
        <v>461.85</v>
      </c>
      <c r="O61" s="72">
        <f t="shared" si="4"/>
        <v>20.62</v>
      </c>
      <c r="P61" s="274">
        <f t="shared" si="5"/>
        <v>9523.3470000000016</v>
      </c>
      <c r="Q61" s="237">
        <f t="shared" si="6"/>
        <v>487.46</v>
      </c>
    </row>
    <row r="62" spans="2:23" s="121" customFormat="1" ht="16.5" customHeight="1" x14ac:dyDescent="0.2">
      <c r="B62" s="120"/>
      <c r="C62" s="56" t="s">
        <v>236</v>
      </c>
      <c r="D62" s="56" t="s">
        <v>96</v>
      </c>
      <c r="E62" s="57" t="s">
        <v>274</v>
      </c>
      <c r="F62" s="58" t="s">
        <v>275</v>
      </c>
      <c r="G62" s="59" t="s">
        <v>108</v>
      </c>
      <c r="H62" s="60">
        <v>461.85</v>
      </c>
      <c r="I62" s="61">
        <v>396.71</v>
      </c>
      <c r="J62" s="60">
        <v>183220.5</v>
      </c>
      <c r="K62" s="68">
        <v>0</v>
      </c>
      <c r="L62" s="69">
        <f t="shared" si="1"/>
        <v>396.71</v>
      </c>
      <c r="M62" s="273">
        <f t="shared" si="2"/>
        <v>0</v>
      </c>
      <c r="N62" s="71">
        <f t="shared" si="3"/>
        <v>461.85</v>
      </c>
      <c r="O62" s="72">
        <f t="shared" si="4"/>
        <v>396.71</v>
      </c>
      <c r="P62" s="274">
        <f t="shared" si="5"/>
        <v>183220.5135</v>
      </c>
      <c r="Q62" s="237">
        <f t="shared" si="6"/>
        <v>487.46</v>
      </c>
    </row>
    <row r="63" spans="2:23" s="121" customFormat="1" ht="16.5" customHeight="1" x14ac:dyDescent="0.2">
      <c r="B63" s="120"/>
      <c r="C63" s="56" t="s">
        <v>239</v>
      </c>
      <c r="D63" s="56" t="s">
        <v>96</v>
      </c>
      <c r="E63" s="57" t="s">
        <v>277</v>
      </c>
      <c r="F63" s="58" t="s">
        <v>278</v>
      </c>
      <c r="G63" s="59" t="s">
        <v>108</v>
      </c>
      <c r="H63" s="60">
        <v>243.85</v>
      </c>
      <c r="I63" s="61">
        <v>559.51</v>
      </c>
      <c r="J63" s="60">
        <v>136436.5</v>
      </c>
      <c r="K63" s="68">
        <v>0</v>
      </c>
      <c r="L63" s="69">
        <f t="shared" si="1"/>
        <v>559.51</v>
      </c>
      <c r="M63" s="273">
        <f t="shared" si="2"/>
        <v>0</v>
      </c>
      <c r="N63" s="71">
        <f t="shared" si="3"/>
        <v>243.85</v>
      </c>
      <c r="O63" s="72">
        <f t="shared" si="4"/>
        <v>559.51</v>
      </c>
      <c r="P63" s="274">
        <f t="shared" si="5"/>
        <v>136436.5135</v>
      </c>
      <c r="Q63" s="237">
        <f t="shared" si="6"/>
        <v>257.37</v>
      </c>
    </row>
    <row r="64" spans="2:23" s="170" customFormat="1" ht="22.9" customHeight="1" x14ac:dyDescent="0.2">
      <c r="B64" s="165"/>
      <c r="C64" s="252"/>
      <c r="D64" s="253" t="s">
        <v>4</v>
      </c>
      <c r="E64" s="254" t="s">
        <v>115</v>
      </c>
      <c r="F64" s="254" t="s">
        <v>288</v>
      </c>
      <c r="G64" s="252"/>
      <c r="H64" s="252"/>
      <c r="I64" s="255"/>
      <c r="J64" s="256">
        <f>+SUBTOTAL(9,J65:J90)</f>
        <v>829960.5</v>
      </c>
      <c r="K64" s="261"/>
      <c r="L64" s="262"/>
      <c r="M64" s="279">
        <f>SUM(M65:M90)</f>
        <v>559.04100000000028</v>
      </c>
      <c r="N64" s="280"/>
      <c r="O64" s="262"/>
      <c r="P64" s="279">
        <f>SUM(P65:P90)</f>
        <v>830519.35759999999</v>
      </c>
      <c r="Q64" s="237">
        <f t="shared" si="6"/>
        <v>0</v>
      </c>
    </row>
    <row r="65" spans="2:24" s="121" customFormat="1" ht="16.5" customHeight="1" x14ac:dyDescent="0.2">
      <c r="B65" s="120"/>
      <c r="C65" s="56" t="s">
        <v>242</v>
      </c>
      <c r="D65" s="56" t="s">
        <v>96</v>
      </c>
      <c r="E65" s="57" t="s">
        <v>296</v>
      </c>
      <c r="F65" s="58" t="s">
        <v>297</v>
      </c>
      <c r="G65" s="59" t="s">
        <v>133</v>
      </c>
      <c r="H65" s="60">
        <v>258.94</v>
      </c>
      <c r="I65" s="61">
        <v>552.39</v>
      </c>
      <c r="J65" s="60">
        <v>143035.9</v>
      </c>
      <c r="K65" s="68">
        <v>-0.7</v>
      </c>
      <c r="L65" s="69">
        <f t="shared" si="1"/>
        <v>552.39</v>
      </c>
      <c r="M65" s="273">
        <f t="shared" si="2"/>
        <v>-386.67299999999994</v>
      </c>
      <c r="N65" s="71">
        <f t="shared" si="3"/>
        <v>258.24</v>
      </c>
      <c r="O65" s="72">
        <f t="shared" si="4"/>
        <v>552.39</v>
      </c>
      <c r="P65" s="274">
        <f t="shared" si="5"/>
        <v>142649.1936</v>
      </c>
      <c r="Q65" s="237">
        <f>ROUND(273.1/258.94*H65,2)</f>
        <v>273.10000000000002</v>
      </c>
    </row>
    <row r="66" spans="2:24" s="121" customFormat="1" ht="16.5" customHeight="1" x14ac:dyDescent="0.2">
      <c r="B66" s="120"/>
      <c r="C66" s="73" t="s">
        <v>245</v>
      </c>
      <c r="D66" s="73" t="s">
        <v>209</v>
      </c>
      <c r="E66" s="74" t="s">
        <v>299</v>
      </c>
      <c r="F66" s="75" t="s">
        <v>300</v>
      </c>
      <c r="G66" s="76" t="s">
        <v>133</v>
      </c>
      <c r="H66" s="77">
        <v>258.94</v>
      </c>
      <c r="I66" s="78">
        <v>1060.07</v>
      </c>
      <c r="J66" s="77">
        <v>274494.5</v>
      </c>
      <c r="K66" s="68">
        <f>+K65</f>
        <v>-0.7</v>
      </c>
      <c r="L66" s="69">
        <f t="shared" si="1"/>
        <v>1060.07</v>
      </c>
      <c r="M66" s="273">
        <f t="shared" si="2"/>
        <v>-742.04899999999986</v>
      </c>
      <c r="N66" s="71">
        <f t="shared" si="3"/>
        <v>258.24</v>
      </c>
      <c r="O66" s="72">
        <f t="shared" si="4"/>
        <v>1060.07</v>
      </c>
      <c r="P66" s="274">
        <f t="shared" si="5"/>
        <v>273752.4768</v>
      </c>
      <c r="Q66" s="237">
        <f>ROUND(273.1/258.94*H66,2)</f>
        <v>273.10000000000002</v>
      </c>
    </row>
    <row r="67" spans="2:24" s="121" customFormat="1" ht="22.5" x14ac:dyDescent="0.2">
      <c r="B67" s="120"/>
      <c r="C67" s="73" t="s">
        <v>248</v>
      </c>
      <c r="D67" s="73" t="s">
        <v>209</v>
      </c>
      <c r="E67" s="74" t="s">
        <v>302</v>
      </c>
      <c r="F67" s="75" t="s">
        <v>303</v>
      </c>
      <c r="G67" s="76" t="s">
        <v>99</v>
      </c>
      <c r="H67" s="77">
        <v>17</v>
      </c>
      <c r="I67" s="78">
        <v>739.15</v>
      </c>
      <c r="J67" s="77">
        <v>12565.6</v>
      </c>
      <c r="K67" s="68">
        <v>0</v>
      </c>
      <c r="L67" s="69">
        <f t="shared" si="1"/>
        <v>739.15</v>
      </c>
      <c r="M67" s="273">
        <f t="shared" si="2"/>
        <v>0</v>
      </c>
      <c r="N67" s="71">
        <f t="shared" si="3"/>
        <v>17</v>
      </c>
      <c r="O67" s="72">
        <f t="shared" si="4"/>
        <v>739.15</v>
      </c>
      <c r="P67" s="274">
        <f t="shared" si="5"/>
        <v>12565.55</v>
      </c>
      <c r="Q67" s="237">
        <f t="shared" si="6"/>
        <v>17.940000000000001</v>
      </c>
      <c r="V67" s="190" t="s">
        <v>1026</v>
      </c>
      <c r="W67" s="191" t="s">
        <v>1035</v>
      </c>
      <c r="X67" s="190" t="s">
        <v>1038</v>
      </c>
    </row>
    <row r="68" spans="2:24" s="121" customFormat="1" ht="16.5" customHeight="1" x14ac:dyDescent="0.2">
      <c r="B68" s="120"/>
      <c r="C68" s="56" t="s">
        <v>251</v>
      </c>
      <c r="D68" s="56" t="s">
        <v>96</v>
      </c>
      <c r="E68" s="57" t="s">
        <v>320</v>
      </c>
      <c r="F68" s="58" t="s">
        <v>321</v>
      </c>
      <c r="G68" s="59" t="s">
        <v>99</v>
      </c>
      <c r="H68" s="60">
        <v>7</v>
      </c>
      <c r="I68" s="61">
        <v>260.41000000000003</v>
      </c>
      <c r="J68" s="60">
        <v>1822.9</v>
      </c>
      <c r="K68" s="68">
        <v>0</v>
      </c>
      <c r="L68" s="69">
        <f t="shared" si="1"/>
        <v>260.41000000000003</v>
      </c>
      <c r="M68" s="273">
        <f t="shared" si="2"/>
        <v>0</v>
      </c>
      <c r="N68" s="71">
        <f t="shared" si="3"/>
        <v>7</v>
      </c>
      <c r="O68" s="72">
        <f t="shared" si="4"/>
        <v>260.41000000000003</v>
      </c>
      <c r="P68" s="274">
        <f t="shared" si="5"/>
        <v>1822.8700000000001</v>
      </c>
      <c r="Q68" s="237">
        <f t="shared" si="6"/>
        <v>7.39</v>
      </c>
    </row>
    <row r="69" spans="2:24" s="121" customFormat="1" ht="16.5" customHeight="1" x14ac:dyDescent="0.2">
      <c r="B69" s="120"/>
      <c r="C69" s="73" t="s">
        <v>254</v>
      </c>
      <c r="D69" s="73" t="s">
        <v>209</v>
      </c>
      <c r="E69" s="74" t="s">
        <v>326</v>
      </c>
      <c r="F69" s="75" t="s">
        <v>327</v>
      </c>
      <c r="G69" s="76" t="s">
        <v>99</v>
      </c>
      <c r="H69" s="77">
        <v>7.11</v>
      </c>
      <c r="I69" s="78">
        <v>1801.85</v>
      </c>
      <c r="J69" s="77">
        <v>12811.2</v>
      </c>
      <c r="K69" s="68">
        <v>0</v>
      </c>
      <c r="L69" s="69">
        <f t="shared" si="1"/>
        <v>1801.85</v>
      </c>
      <c r="M69" s="273">
        <f t="shared" si="2"/>
        <v>0</v>
      </c>
      <c r="N69" s="71">
        <f t="shared" si="3"/>
        <v>7.11</v>
      </c>
      <c r="O69" s="72">
        <f t="shared" si="4"/>
        <v>1801.85</v>
      </c>
      <c r="P69" s="274">
        <f t="shared" si="5"/>
        <v>12811.1535</v>
      </c>
      <c r="Q69" s="237">
        <f t="shared" si="6"/>
        <v>7.5</v>
      </c>
    </row>
    <row r="70" spans="2:24" s="121" customFormat="1" ht="16.5" customHeight="1" x14ac:dyDescent="0.2">
      <c r="B70" s="120"/>
      <c r="C70" s="56" t="s">
        <v>258</v>
      </c>
      <c r="D70" s="56" t="s">
        <v>96</v>
      </c>
      <c r="E70" s="57" t="s">
        <v>329</v>
      </c>
      <c r="F70" s="58" t="s">
        <v>330</v>
      </c>
      <c r="G70" s="59" t="s">
        <v>99</v>
      </c>
      <c r="H70" s="60">
        <v>19</v>
      </c>
      <c r="I70" s="61">
        <v>219.64</v>
      </c>
      <c r="J70" s="60">
        <v>4173.2</v>
      </c>
      <c r="K70" s="68">
        <v>0</v>
      </c>
      <c r="L70" s="69">
        <f t="shared" si="1"/>
        <v>219.64</v>
      </c>
      <c r="M70" s="273">
        <f t="shared" si="2"/>
        <v>0</v>
      </c>
      <c r="N70" s="71">
        <f t="shared" si="3"/>
        <v>19</v>
      </c>
      <c r="O70" s="72">
        <f t="shared" si="4"/>
        <v>219.64</v>
      </c>
      <c r="P70" s="274">
        <f t="shared" si="5"/>
        <v>4173.16</v>
      </c>
      <c r="Q70" s="237">
        <f t="shared" si="6"/>
        <v>20.05</v>
      </c>
    </row>
    <row r="71" spans="2:24" s="121" customFormat="1" ht="16.5" customHeight="1" x14ac:dyDescent="0.2">
      <c r="B71" s="120"/>
      <c r="C71" s="73" t="s">
        <v>261</v>
      </c>
      <c r="D71" s="73" t="s">
        <v>209</v>
      </c>
      <c r="E71" s="74" t="s">
        <v>332</v>
      </c>
      <c r="F71" s="75" t="s">
        <v>333</v>
      </c>
      <c r="G71" s="76" t="s">
        <v>99</v>
      </c>
      <c r="H71" s="77">
        <v>9.14</v>
      </c>
      <c r="I71" s="78">
        <v>1129.77</v>
      </c>
      <c r="J71" s="77">
        <v>10326.1</v>
      </c>
      <c r="K71" s="68">
        <v>0</v>
      </c>
      <c r="L71" s="69">
        <f t="shared" si="1"/>
        <v>1129.77</v>
      </c>
      <c r="M71" s="273">
        <f t="shared" si="2"/>
        <v>0</v>
      </c>
      <c r="N71" s="71">
        <f t="shared" si="3"/>
        <v>9.14</v>
      </c>
      <c r="O71" s="72">
        <f t="shared" si="4"/>
        <v>1129.77</v>
      </c>
      <c r="P71" s="274">
        <f t="shared" si="5"/>
        <v>10326.097800000001</v>
      </c>
      <c r="Q71" s="237">
        <f t="shared" si="6"/>
        <v>9.65</v>
      </c>
    </row>
    <row r="72" spans="2:24" s="121" customFormat="1" ht="16.5" customHeight="1" x14ac:dyDescent="0.2">
      <c r="B72" s="120"/>
      <c r="C72" s="73" t="s">
        <v>264</v>
      </c>
      <c r="D72" s="73" t="s">
        <v>209</v>
      </c>
      <c r="E72" s="74" t="s">
        <v>335</v>
      </c>
      <c r="F72" s="75" t="s">
        <v>336</v>
      </c>
      <c r="G72" s="76" t="s">
        <v>99</v>
      </c>
      <c r="H72" s="77">
        <v>10.15</v>
      </c>
      <c r="I72" s="78">
        <v>1129.77</v>
      </c>
      <c r="J72" s="77">
        <v>11467.2</v>
      </c>
      <c r="K72" s="68">
        <v>0</v>
      </c>
      <c r="L72" s="69">
        <f t="shared" si="1"/>
        <v>1129.77</v>
      </c>
      <c r="M72" s="273">
        <f t="shared" si="2"/>
        <v>0</v>
      </c>
      <c r="N72" s="71">
        <f t="shared" si="3"/>
        <v>10.15</v>
      </c>
      <c r="O72" s="72">
        <f t="shared" si="4"/>
        <v>1129.77</v>
      </c>
      <c r="P72" s="274">
        <f t="shared" si="5"/>
        <v>11467.165500000001</v>
      </c>
      <c r="Q72" s="237">
        <f t="shared" si="6"/>
        <v>10.71</v>
      </c>
    </row>
    <row r="73" spans="2:24" s="121" customFormat="1" ht="16.5" customHeight="1" x14ac:dyDescent="0.2">
      <c r="B73" s="120"/>
      <c r="C73" s="56" t="s">
        <v>267</v>
      </c>
      <c r="D73" s="56" t="s">
        <v>96</v>
      </c>
      <c r="E73" s="57" t="s">
        <v>438</v>
      </c>
      <c r="F73" s="58" t="s">
        <v>439</v>
      </c>
      <c r="G73" s="59" t="s">
        <v>133</v>
      </c>
      <c r="H73" s="60">
        <v>8</v>
      </c>
      <c r="I73" s="61">
        <v>441.91</v>
      </c>
      <c r="J73" s="60">
        <v>3535.3</v>
      </c>
      <c r="K73" s="68">
        <f>8.5/8*H73-H73</f>
        <v>0.5</v>
      </c>
      <c r="L73" s="69">
        <f t="shared" si="1"/>
        <v>441.91</v>
      </c>
      <c r="M73" s="273">
        <f t="shared" si="2"/>
        <v>220.95500000000001</v>
      </c>
      <c r="N73" s="71">
        <f t="shared" si="3"/>
        <v>8.5</v>
      </c>
      <c r="O73" s="72">
        <f t="shared" si="4"/>
        <v>441.91</v>
      </c>
      <c r="P73" s="274">
        <f t="shared" si="5"/>
        <v>3756.2350000000001</v>
      </c>
      <c r="Q73" s="237">
        <f t="shared" si="6"/>
        <v>8.44</v>
      </c>
    </row>
    <row r="74" spans="2:24" s="121" customFormat="1" ht="22.7" customHeight="1" x14ac:dyDescent="0.2">
      <c r="B74" s="120"/>
      <c r="C74" s="73" t="s">
        <v>270</v>
      </c>
      <c r="D74" s="73" t="s">
        <v>209</v>
      </c>
      <c r="E74" s="74" t="s">
        <v>440</v>
      </c>
      <c r="F74" s="75" t="s">
        <v>441</v>
      </c>
      <c r="G74" s="76" t="s">
        <v>133</v>
      </c>
      <c r="H74" s="77">
        <v>8</v>
      </c>
      <c r="I74" s="78">
        <v>2964.5</v>
      </c>
      <c r="J74" s="77">
        <v>23716</v>
      </c>
      <c r="K74" s="68">
        <f>8.5/8*H74-H74</f>
        <v>0.5</v>
      </c>
      <c r="L74" s="69">
        <f t="shared" si="1"/>
        <v>2964.5</v>
      </c>
      <c r="M74" s="273">
        <f t="shared" si="2"/>
        <v>1482.25</v>
      </c>
      <c r="N74" s="71">
        <f t="shared" si="3"/>
        <v>8.5</v>
      </c>
      <c r="O74" s="72">
        <f t="shared" si="4"/>
        <v>2964.5</v>
      </c>
      <c r="P74" s="274">
        <f t="shared" si="5"/>
        <v>25198.25</v>
      </c>
      <c r="Q74" s="237">
        <f t="shared" si="6"/>
        <v>8.44</v>
      </c>
    </row>
    <row r="75" spans="2:24" s="121" customFormat="1" ht="33.75" customHeight="1" x14ac:dyDescent="0.2">
      <c r="B75" s="120"/>
      <c r="C75" s="56" t="s">
        <v>273</v>
      </c>
      <c r="D75" s="56" t="s">
        <v>96</v>
      </c>
      <c r="E75" s="57" t="s">
        <v>347</v>
      </c>
      <c r="F75" s="58" t="s">
        <v>348</v>
      </c>
      <c r="G75" s="59" t="s">
        <v>133</v>
      </c>
      <c r="H75" s="60">
        <v>258.94</v>
      </c>
      <c r="I75" s="61">
        <v>68</v>
      </c>
      <c r="J75" s="60">
        <v>17607.900000000001</v>
      </c>
      <c r="K75" s="68">
        <v>-0.2</v>
      </c>
      <c r="L75" s="69">
        <f t="shared" si="1"/>
        <v>68</v>
      </c>
      <c r="M75" s="273">
        <f t="shared" si="2"/>
        <v>-13.600000000000001</v>
      </c>
      <c r="N75" s="71">
        <f t="shared" si="3"/>
        <v>258.74</v>
      </c>
      <c r="O75" s="72">
        <f t="shared" si="4"/>
        <v>68</v>
      </c>
      <c r="P75" s="274">
        <f t="shared" si="5"/>
        <v>17594.32</v>
      </c>
      <c r="Q75" s="237">
        <f t="shared" si="6"/>
        <v>273.3</v>
      </c>
    </row>
    <row r="76" spans="2:24" s="121" customFormat="1" ht="16.5" customHeight="1" x14ac:dyDescent="0.2">
      <c r="B76" s="120"/>
      <c r="C76" s="56" t="s">
        <v>276</v>
      </c>
      <c r="D76" s="56" t="s">
        <v>96</v>
      </c>
      <c r="E76" s="57" t="s">
        <v>350</v>
      </c>
      <c r="F76" s="58" t="s">
        <v>351</v>
      </c>
      <c r="G76" s="59" t="s">
        <v>99</v>
      </c>
      <c r="H76" s="60">
        <v>13</v>
      </c>
      <c r="I76" s="61">
        <v>808.86</v>
      </c>
      <c r="J76" s="60">
        <v>10515.2</v>
      </c>
      <c r="K76" s="68">
        <v>0</v>
      </c>
      <c r="L76" s="69">
        <f t="shared" si="1"/>
        <v>808.86</v>
      </c>
      <c r="M76" s="273">
        <f t="shared" si="2"/>
        <v>0</v>
      </c>
      <c r="N76" s="71">
        <f t="shared" si="3"/>
        <v>13</v>
      </c>
      <c r="O76" s="72">
        <f t="shared" si="4"/>
        <v>808.86</v>
      </c>
      <c r="P76" s="274">
        <f t="shared" si="5"/>
        <v>10515.18</v>
      </c>
      <c r="Q76" s="237">
        <f t="shared" si="6"/>
        <v>13.72</v>
      </c>
    </row>
    <row r="77" spans="2:24" s="121" customFormat="1" ht="16.5" customHeight="1" x14ac:dyDescent="0.2">
      <c r="B77" s="120"/>
      <c r="C77" s="73" t="s">
        <v>279</v>
      </c>
      <c r="D77" s="73" t="s">
        <v>209</v>
      </c>
      <c r="E77" s="74" t="s">
        <v>353</v>
      </c>
      <c r="F77" s="75" t="s">
        <v>354</v>
      </c>
      <c r="G77" s="76" t="s">
        <v>99</v>
      </c>
      <c r="H77" s="77">
        <v>1</v>
      </c>
      <c r="I77" s="78">
        <v>3481.39</v>
      </c>
      <c r="J77" s="77">
        <v>3481.4</v>
      </c>
      <c r="K77" s="68">
        <v>0</v>
      </c>
      <c r="L77" s="69">
        <f t="shared" si="1"/>
        <v>3481.39</v>
      </c>
      <c r="M77" s="273">
        <f t="shared" si="2"/>
        <v>0</v>
      </c>
      <c r="N77" s="71">
        <f t="shared" si="3"/>
        <v>1</v>
      </c>
      <c r="O77" s="72">
        <f t="shared" si="4"/>
        <v>3481.39</v>
      </c>
      <c r="P77" s="274">
        <f t="shared" si="5"/>
        <v>3481.39</v>
      </c>
      <c r="Q77" s="237">
        <f t="shared" si="6"/>
        <v>1.06</v>
      </c>
    </row>
    <row r="78" spans="2:24" s="121" customFormat="1" ht="16.5" customHeight="1" x14ac:dyDescent="0.2">
      <c r="B78" s="120"/>
      <c r="C78" s="73" t="s">
        <v>282</v>
      </c>
      <c r="D78" s="73" t="s">
        <v>209</v>
      </c>
      <c r="E78" s="74" t="s">
        <v>356</v>
      </c>
      <c r="F78" s="75" t="s">
        <v>357</v>
      </c>
      <c r="G78" s="76" t="s">
        <v>99</v>
      </c>
      <c r="H78" s="77">
        <v>8</v>
      </c>
      <c r="I78" s="78">
        <v>1202.1099999999999</v>
      </c>
      <c r="J78" s="77">
        <v>9616.9</v>
      </c>
      <c r="K78" s="68">
        <v>0</v>
      </c>
      <c r="L78" s="69">
        <f t="shared" si="1"/>
        <v>1202.1099999999999</v>
      </c>
      <c r="M78" s="273">
        <f t="shared" si="2"/>
        <v>0</v>
      </c>
      <c r="N78" s="71">
        <f t="shared" si="3"/>
        <v>8</v>
      </c>
      <c r="O78" s="72">
        <f t="shared" si="4"/>
        <v>1202.1099999999999</v>
      </c>
      <c r="P78" s="274">
        <f t="shared" si="5"/>
        <v>9616.8799999999992</v>
      </c>
      <c r="Q78" s="237">
        <f t="shared" si="6"/>
        <v>8.44</v>
      </c>
    </row>
    <row r="79" spans="2:24" s="121" customFormat="1" ht="16.5" customHeight="1" x14ac:dyDescent="0.2">
      <c r="B79" s="120"/>
      <c r="C79" s="73" t="s">
        <v>285</v>
      </c>
      <c r="D79" s="73" t="s">
        <v>209</v>
      </c>
      <c r="E79" s="74" t="s">
        <v>359</v>
      </c>
      <c r="F79" s="75" t="s">
        <v>360</v>
      </c>
      <c r="G79" s="76" t="s">
        <v>99</v>
      </c>
      <c r="H79" s="77">
        <v>4</v>
      </c>
      <c r="I79" s="78">
        <v>775.98</v>
      </c>
      <c r="J79" s="77">
        <v>3103.9</v>
      </c>
      <c r="K79" s="68">
        <v>0</v>
      </c>
      <c r="L79" s="69">
        <f t="shared" si="1"/>
        <v>775.98</v>
      </c>
      <c r="M79" s="273">
        <f t="shared" si="2"/>
        <v>0</v>
      </c>
      <c r="N79" s="71">
        <f t="shared" si="3"/>
        <v>4</v>
      </c>
      <c r="O79" s="72">
        <f t="shared" si="4"/>
        <v>775.98</v>
      </c>
      <c r="P79" s="274">
        <f t="shared" si="5"/>
        <v>3103.92</v>
      </c>
      <c r="Q79" s="237">
        <f t="shared" si="6"/>
        <v>4.22</v>
      </c>
    </row>
    <row r="80" spans="2:24" s="121" customFormat="1" ht="16.5" customHeight="1" x14ac:dyDescent="0.2">
      <c r="B80" s="120"/>
      <c r="C80" s="73" t="s">
        <v>289</v>
      </c>
      <c r="D80" s="73" t="s">
        <v>209</v>
      </c>
      <c r="E80" s="74" t="s">
        <v>362</v>
      </c>
      <c r="F80" s="75" t="s">
        <v>363</v>
      </c>
      <c r="G80" s="76" t="s">
        <v>99</v>
      </c>
      <c r="H80" s="77">
        <v>22</v>
      </c>
      <c r="I80" s="78">
        <v>211.75</v>
      </c>
      <c r="J80" s="77">
        <v>4658.5</v>
      </c>
      <c r="K80" s="68">
        <v>0</v>
      </c>
      <c r="L80" s="69">
        <f t="shared" ref="L80:L100" si="10">I80</f>
        <v>211.75</v>
      </c>
      <c r="M80" s="273">
        <f t="shared" ref="M80:M100" si="11">K80*L80</f>
        <v>0</v>
      </c>
      <c r="N80" s="71">
        <f t="shared" ref="N80:N100" si="12">H80+K80</f>
        <v>22</v>
      </c>
      <c r="O80" s="72">
        <f t="shared" ref="O80:O100" si="13">I80</f>
        <v>211.75</v>
      </c>
      <c r="P80" s="274">
        <f t="shared" ref="P80:P100" si="14">N80*O80</f>
        <v>4658.5</v>
      </c>
      <c r="Q80" s="237">
        <f t="shared" ref="Q80:Q100" si="15">ROUND(273.3/258.94*H80,2)</f>
        <v>23.22</v>
      </c>
    </row>
    <row r="81" spans="2:17" s="121" customFormat="1" ht="16.5" customHeight="1" x14ac:dyDescent="0.2">
      <c r="B81" s="120"/>
      <c r="C81" s="56" t="s">
        <v>292</v>
      </c>
      <c r="D81" s="56" t="s">
        <v>96</v>
      </c>
      <c r="E81" s="57" t="s">
        <v>365</v>
      </c>
      <c r="F81" s="58" t="s">
        <v>366</v>
      </c>
      <c r="G81" s="59" t="s">
        <v>99</v>
      </c>
      <c r="H81" s="60">
        <v>10</v>
      </c>
      <c r="I81" s="61">
        <v>808.86</v>
      </c>
      <c r="J81" s="60">
        <v>8088.6</v>
      </c>
      <c r="K81" s="68">
        <v>0</v>
      </c>
      <c r="L81" s="69">
        <f t="shared" si="10"/>
        <v>808.86</v>
      </c>
      <c r="M81" s="273">
        <f t="shared" si="11"/>
        <v>0</v>
      </c>
      <c r="N81" s="71">
        <f t="shared" si="12"/>
        <v>10</v>
      </c>
      <c r="O81" s="72">
        <f t="shared" si="13"/>
        <v>808.86</v>
      </c>
      <c r="P81" s="274">
        <f t="shared" si="14"/>
        <v>8088.6</v>
      </c>
      <c r="Q81" s="237">
        <f t="shared" si="15"/>
        <v>10.55</v>
      </c>
    </row>
    <row r="82" spans="2:17" s="121" customFormat="1" ht="16.5" customHeight="1" x14ac:dyDescent="0.2">
      <c r="B82" s="120"/>
      <c r="C82" s="73" t="s">
        <v>295</v>
      </c>
      <c r="D82" s="73" t="s">
        <v>209</v>
      </c>
      <c r="E82" s="74" t="s">
        <v>368</v>
      </c>
      <c r="F82" s="75" t="s">
        <v>369</v>
      </c>
      <c r="G82" s="76" t="s">
        <v>99</v>
      </c>
      <c r="H82" s="77">
        <v>10</v>
      </c>
      <c r="I82" s="78">
        <v>1530.92</v>
      </c>
      <c r="J82" s="77">
        <v>15309.2</v>
      </c>
      <c r="K82" s="68">
        <v>0</v>
      </c>
      <c r="L82" s="69">
        <f t="shared" si="10"/>
        <v>1530.92</v>
      </c>
      <c r="M82" s="273">
        <f t="shared" si="11"/>
        <v>0</v>
      </c>
      <c r="N82" s="71">
        <f t="shared" si="12"/>
        <v>10</v>
      </c>
      <c r="O82" s="72">
        <f t="shared" si="13"/>
        <v>1530.92</v>
      </c>
      <c r="P82" s="274">
        <f t="shared" si="14"/>
        <v>15309.2</v>
      </c>
      <c r="Q82" s="237">
        <f t="shared" si="15"/>
        <v>10.55</v>
      </c>
    </row>
    <row r="83" spans="2:17" s="121" customFormat="1" ht="16.5" customHeight="1" x14ac:dyDescent="0.2">
      <c r="B83" s="120"/>
      <c r="C83" s="56" t="s">
        <v>298</v>
      </c>
      <c r="D83" s="56" t="s">
        <v>96</v>
      </c>
      <c r="E83" s="57" t="s">
        <v>371</v>
      </c>
      <c r="F83" s="58" t="s">
        <v>372</v>
      </c>
      <c r="G83" s="59" t="s">
        <v>99</v>
      </c>
      <c r="H83" s="60">
        <v>10</v>
      </c>
      <c r="I83" s="61">
        <v>3234.12</v>
      </c>
      <c r="J83" s="60">
        <v>32341.200000000001</v>
      </c>
      <c r="K83" s="68">
        <v>0</v>
      </c>
      <c r="L83" s="69">
        <f t="shared" si="10"/>
        <v>3234.12</v>
      </c>
      <c r="M83" s="273">
        <f t="shared" si="11"/>
        <v>0</v>
      </c>
      <c r="N83" s="71">
        <f t="shared" si="12"/>
        <v>10</v>
      </c>
      <c r="O83" s="72">
        <f t="shared" si="13"/>
        <v>3234.12</v>
      </c>
      <c r="P83" s="274">
        <f t="shared" si="14"/>
        <v>32341.199999999997</v>
      </c>
      <c r="Q83" s="237">
        <f t="shared" si="15"/>
        <v>10.55</v>
      </c>
    </row>
    <row r="84" spans="2:17" s="121" customFormat="1" ht="16.5" customHeight="1" x14ac:dyDescent="0.2">
      <c r="B84" s="120"/>
      <c r="C84" s="73" t="s">
        <v>301</v>
      </c>
      <c r="D84" s="73" t="s">
        <v>209</v>
      </c>
      <c r="E84" s="74" t="s">
        <v>374</v>
      </c>
      <c r="F84" s="75" t="s">
        <v>375</v>
      </c>
      <c r="G84" s="76" t="s">
        <v>99</v>
      </c>
      <c r="H84" s="77">
        <v>10</v>
      </c>
      <c r="I84" s="78">
        <v>14588.41</v>
      </c>
      <c r="J84" s="77">
        <v>145884.1</v>
      </c>
      <c r="K84" s="68">
        <v>0</v>
      </c>
      <c r="L84" s="69">
        <f t="shared" si="10"/>
        <v>14588.41</v>
      </c>
      <c r="M84" s="273">
        <f t="shared" si="11"/>
        <v>0</v>
      </c>
      <c r="N84" s="71">
        <f t="shared" si="12"/>
        <v>10</v>
      </c>
      <c r="O84" s="72">
        <f t="shared" si="13"/>
        <v>14588.41</v>
      </c>
      <c r="P84" s="274">
        <f t="shared" si="14"/>
        <v>145884.1</v>
      </c>
      <c r="Q84" s="237">
        <f t="shared" si="15"/>
        <v>10.55</v>
      </c>
    </row>
    <row r="85" spans="2:17" s="121" customFormat="1" ht="16.5" customHeight="1" x14ac:dyDescent="0.2">
      <c r="B85" s="120"/>
      <c r="C85" s="56" t="s">
        <v>304</v>
      </c>
      <c r="D85" s="56" t="s">
        <v>96</v>
      </c>
      <c r="E85" s="57" t="s">
        <v>377</v>
      </c>
      <c r="F85" s="58" t="s">
        <v>378</v>
      </c>
      <c r="G85" s="59" t="s">
        <v>99</v>
      </c>
      <c r="H85" s="60">
        <v>10</v>
      </c>
      <c r="I85" s="61">
        <v>485.32</v>
      </c>
      <c r="J85" s="60">
        <v>4853.2</v>
      </c>
      <c r="K85" s="68">
        <v>0</v>
      </c>
      <c r="L85" s="69">
        <f t="shared" si="10"/>
        <v>485.32</v>
      </c>
      <c r="M85" s="273">
        <f t="shared" si="11"/>
        <v>0</v>
      </c>
      <c r="N85" s="71">
        <f t="shared" si="12"/>
        <v>10</v>
      </c>
      <c r="O85" s="72">
        <f t="shared" si="13"/>
        <v>485.32</v>
      </c>
      <c r="P85" s="274">
        <f t="shared" si="14"/>
        <v>4853.2</v>
      </c>
      <c r="Q85" s="237">
        <f t="shared" si="15"/>
        <v>10.55</v>
      </c>
    </row>
    <row r="86" spans="2:17" s="121" customFormat="1" ht="16.5" customHeight="1" x14ac:dyDescent="0.2">
      <c r="B86" s="120"/>
      <c r="C86" s="73" t="s">
        <v>307</v>
      </c>
      <c r="D86" s="73" t="s">
        <v>209</v>
      </c>
      <c r="E86" s="74" t="s">
        <v>442</v>
      </c>
      <c r="F86" s="75" t="s">
        <v>443</v>
      </c>
      <c r="G86" s="76" t="s">
        <v>99</v>
      </c>
      <c r="H86" s="77">
        <v>3</v>
      </c>
      <c r="I86" s="78">
        <v>6510.34</v>
      </c>
      <c r="J86" s="77">
        <v>19531</v>
      </c>
      <c r="K86" s="68">
        <v>0</v>
      </c>
      <c r="L86" s="69">
        <f t="shared" si="10"/>
        <v>6510.34</v>
      </c>
      <c r="M86" s="273">
        <f t="shared" si="11"/>
        <v>0</v>
      </c>
      <c r="N86" s="71">
        <f t="shared" si="12"/>
        <v>3</v>
      </c>
      <c r="O86" s="72">
        <f t="shared" si="13"/>
        <v>6510.34</v>
      </c>
      <c r="P86" s="274">
        <f t="shared" si="14"/>
        <v>19531.02</v>
      </c>
      <c r="Q86" s="237">
        <f t="shared" si="15"/>
        <v>3.17</v>
      </c>
    </row>
    <row r="87" spans="2:17" s="121" customFormat="1" ht="16.5" customHeight="1" x14ac:dyDescent="0.2">
      <c r="B87" s="120"/>
      <c r="C87" s="73" t="s">
        <v>310</v>
      </c>
      <c r="D87" s="73" t="s">
        <v>209</v>
      </c>
      <c r="E87" s="74" t="s">
        <v>380</v>
      </c>
      <c r="F87" s="75" t="s">
        <v>381</v>
      </c>
      <c r="G87" s="76" t="s">
        <v>99</v>
      </c>
      <c r="H87" s="77">
        <v>7</v>
      </c>
      <c r="I87" s="78">
        <v>6510.34</v>
      </c>
      <c r="J87" s="77">
        <v>45572.4</v>
      </c>
      <c r="K87" s="68">
        <v>0</v>
      </c>
      <c r="L87" s="69">
        <f t="shared" si="10"/>
        <v>6510.34</v>
      </c>
      <c r="M87" s="273">
        <f t="shared" si="11"/>
        <v>0</v>
      </c>
      <c r="N87" s="71">
        <f t="shared" si="12"/>
        <v>7</v>
      </c>
      <c r="O87" s="72">
        <f t="shared" si="13"/>
        <v>6510.34</v>
      </c>
      <c r="P87" s="274">
        <f t="shared" si="14"/>
        <v>45572.380000000005</v>
      </c>
      <c r="Q87" s="237">
        <f t="shared" si="15"/>
        <v>7.39</v>
      </c>
    </row>
    <row r="88" spans="2:17" s="121" customFormat="1" ht="16.5" customHeight="1" x14ac:dyDescent="0.2">
      <c r="B88" s="120"/>
      <c r="C88" s="56" t="s">
        <v>313</v>
      </c>
      <c r="D88" s="56" t="s">
        <v>96</v>
      </c>
      <c r="E88" s="57" t="s">
        <v>383</v>
      </c>
      <c r="F88" s="58" t="s">
        <v>384</v>
      </c>
      <c r="G88" s="59" t="s">
        <v>133</v>
      </c>
      <c r="H88" s="60">
        <v>258.94</v>
      </c>
      <c r="I88" s="61">
        <v>9.2100000000000009</v>
      </c>
      <c r="J88" s="60">
        <v>2384.8000000000002</v>
      </c>
      <c r="K88" s="68">
        <f t="shared" ref="K88" si="16">ROUND(273.1/273.3*Q88-Q88,2)</f>
        <v>-0.2</v>
      </c>
      <c r="L88" s="69">
        <f t="shared" si="10"/>
        <v>9.2100000000000009</v>
      </c>
      <c r="M88" s="273">
        <f t="shared" si="11"/>
        <v>-1.8420000000000003</v>
      </c>
      <c r="N88" s="71">
        <f t="shared" si="12"/>
        <v>258.74</v>
      </c>
      <c r="O88" s="72">
        <f t="shared" si="13"/>
        <v>9.2100000000000009</v>
      </c>
      <c r="P88" s="274">
        <f t="shared" si="14"/>
        <v>2382.9954000000002</v>
      </c>
      <c r="Q88" s="237">
        <f t="shared" si="15"/>
        <v>273.3</v>
      </c>
    </row>
    <row r="89" spans="2:17" s="121" customFormat="1" ht="16.5" customHeight="1" x14ac:dyDescent="0.2">
      <c r="B89" s="120"/>
      <c r="C89" s="56" t="s">
        <v>316</v>
      </c>
      <c r="D89" s="56" t="s">
        <v>96</v>
      </c>
      <c r="E89" s="57" t="s">
        <v>444</v>
      </c>
      <c r="F89" s="58" t="s">
        <v>445</v>
      </c>
      <c r="G89" s="59" t="s">
        <v>99</v>
      </c>
      <c r="H89" s="60">
        <v>7</v>
      </c>
      <c r="I89" s="61">
        <v>121.2</v>
      </c>
      <c r="J89" s="60">
        <v>848.4</v>
      </c>
      <c r="K89" s="68">
        <v>0</v>
      </c>
      <c r="L89" s="69">
        <f t="shared" si="10"/>
        <v>121.2</v>
      </c>
      <c r="M89" s="273">
        <f t="shared" si="11"/>
        <v>0</v>
      </c>
      <c r="N89" s="71">
        <f t="shared" si="12"/>
        <v>7</v>
      </c>
      <c r="O89" s="72">
        <f t="shared" si="13"/>
        <v>121.2</v>
      </c>
      <c r="P89" s="274">
        <f t="shared" si="14"/>
        <v>848.4</v>
      </c>
      <c r="Q89" s="237">
        <f t="shared" si="15"/>
        <v>7.39</v>
      </c>
    </row>
    <row r="90" spans="2:17" s="121" customFormat="1" ht="16.5" customHeight="1" x14ac:dyDescent="0.2">
      <c r="B90" s="120"/>
      <c r="C90" s="56" t="s">
        <v>319</v>
      </c>
      <c r="D90" s="56" t="s">
        <v>96</v>
      </c>
      <c r="E90" s="57" t="s">
        <v>446</v>
      </c>
      <c r="F90" s="58" t="s">
        <v>447</v>
      </c>
      <c r="G90" s="59" t="s">
        <v>99</v>
      </c>
      <c r="H90" s="60">
        <v>2</v>
      </c>
      <c r="I90" s="61">
        <v>4107.96</v>
      </c>
      <c r="J90" s="60">
        <v>8215.9</v>
      </c>
      <c r="K90" s="68">
        <v>0</v>
      </c>
      <c r="L90" s="69">
        <f t="shared" si="10"/>
        <v>4107.96</v>
      </c>
      <c r="M90" s="273">
        <f t="shared" si="11"/>
        <v>0</v>
      </c>
      <c r="N90" s="71">
        <f t="shared" si="12"/>
        <v>2</v>
      </c>
      <c r="O90" s="72">
        <f t="shared" si="13"/>
        <v>4107.96</v>
      </c>
      <c r="P90" s="274">
        <f t="shared" si="14"/>
        <v>8215.92</v>
      </c>
      <c r="Q90" s="237">
        <f t="shared" si="15"/>
        <v>2.11</v>
      </c>
    </row>
    <row r="91" spans="2:17" s="170" customFormat="1" ht="22.9" customHeight="1" x14ac:dyDescent="0.2">
      <c r="B91" s="165"/>
      <c r="C91" s="252"/>
      <c r="D91" s="253" t="s">
        <v>4</v>
      </c>
      <c r="E91" s="254" t="s">
        <v>118</v>
      </c>
      <c r="F91" s="254" t="s">
        <v>385</v>
      </c>
      <c r="G91" s="252"/>
      <c r="H91" s="252"/>
      <c r="I91" s="255"/>
      <c r="J91" s="256">
        <f>+SUBTOTAL(9,J92:J93)</f>
        <v>69755.600000000006</v>
      </c>
      <c r="K91" s="261"/>
      <c r="L91" s="262"/>
      <c r="M91" s="279">
        <f>M92+M93</f>
        <v>-54.396600000000007</v>
      </c>
      <c r="N91" s="280"/>
      <c r="O91" s="262"/>
      <c r="P91" s="279">
        <f>P92+P93</f>
        <v>69701.243400000007</v>
      </c>
      <c r="Q91" s="237">
        <f t="shared" si="15"/>
        <v>0</v>
      </c>
    </row>
    <row r="92" spans="2:17" s="121" customFormat="1" ht="16.5" customHeight="1" x14ac:dyDescent="0.2">
      <c r="B92" s="120"/>
      <c r="C92" s="56" t="s">
        <v>322</v>
      </c>
      <c r="D92" s="56" t="s">
        <v>96</v>
      </c>
      <c r="E92" s="57" t="s">
        <v>387</v>
      </c>
      <c r="F92" s="58" t="s">
        <v>388</v>
      </c>
      <c r="G92" s="59" t="s">
        <v>133</v>
      </c>
      <c r="H92" s="60">
        <v>436</v>
      </c>
      <c r="I92" s="61">
        <v>87.65</v>
      </c>
      <c r="J92" s="60">
        <v>38215.4</v>
      </c>
      <c r="K92" s="68">
        <f t="shared" ref="K92:K93" si="17">ROUND(273.1/273.3*Q92-Q92,2)</f>
        <v>-0.34</v>
      </c>
      <c r="L92" s="69">
        <f t="shared" si="10"/>
        <v>87.65</v>
      </c>
      <c r="M92" s="273">
        <f t="shared" si="11"/>
        <v>-29.801000000000005</v>
      </c>
      <c r="N92" s="71">
        <f t="shared" si="12"/>
        <v>435.66</v>
      </c>
      <c r="O92" s="72">
        <f t="shared" si="13"/>
        <v>87.65</v>
      </c>
      <c r="P92" s="274">
        <f t="shared" si="14"/>
        <v>38185.599000000002</v>
      </c>
      <c r="Q92" s="237">
        <f t="shared" si="15"/>
        <v>460.18</v>
      </c>
    </row>
    <row r="93" spans="2:17" s="121" customFormat="1" ht="16.5" customHeight="1" x14ac:dyDescent="0.2">
      <c r="B93" s="120"/>
      <c r="C93" s="56" t="s">
        <v>325</v>
      </c>
      <c r="D93" s="56" t="s">
        <v>96</v>
      </c>
      <c r="E93" s="57" t="s">
        <v>390</v>
      </c>
      <c r="F93" s="58" t="s">
        <v>391</v>
      </c>
      <c r="G93" s="59" t="s">
        <v>133</v>
      </c>
      <c r="H93" s="60">
        <v>436</v>
      </c>
      <c r="I93" s="61">
        <v>72.34</v>
      </c>
      <c r="J93" s="60">
        <v>31540.2</v>
      </c>
      <c r="K93" s="68">
        <f t="shared" si="17"/>
        <v>-0.34</v>
      </c>
      <c r="L93" s="69">
        <f t="shared" si="10"/>
        <v>72.34</v>
      </c>
      <c r="M93" s="273">
        <f t="shared" si="11"/>
        <v>-24.595600000000005</v>
      </c>
      <c r="N93" s="71">
        <f t="shared" si="12"/>
        <v>435.66</v>
      </c>
      <c r="O93" s="72">
        <f t="shared" si="13"/>
        <v>72.34</v>
      </c>
      <c r="P93" s="274">
        <f t="shared" si="14"/>
        <v>31515.644400000005</v>
      </c>
      <c r="Q93" s="237">
        <f t="shared" si="15"/>
        <v>460.18</v>
      </c>
    </row>
    <row r="94" spans="2:17" s="170" customFormat="1" ht="22.9" customHeight="1" x14ac:dyDescent="0.2">
      <c r="B94" s="165"/>
      <c r="C94" s="252"/>
      <c r="D94" s="253" t="s">
        <v>4</v>
      </c>
      <c r="E94" s="254" t="s">
        <v>398</v>
      </c>
      <c r="F94" s="254" t="s">
        <v>399</v>
      </c>
      <c r="G94" s="252"/>
      <c r="H94" s="252"/>
      <c r="I94" s="255"/>
      <c r="J94" s="256">
        <f>+SUBTOTAL(9,J95:J98)</f>
        <v>96968.200000000012</v>
      </c>
      <c r="K94" s="261"/>
      <c r="L94" s="262"/>
      <c r="M94" s="279">
        <f>SUM(M95:M98)</f>
        <v>-50.967699999999994</v>
      </c>
      <c r="N94" s="280"/>
      <c r="O94" s="262"/>
      <c r="P94" s="279">
        <f>SUM(P95:P98)</f>
        <v>96917.059099999999</v>
      </c>
      <c r="Q94" s="237">
        <f t="shared" si="15"/>
        <v>0</v>
      </c>
    </row>
    <row r="95" spans="2:17" s="121" customFormat="1" ht="16.5" customHeight="1" x14ac:dyDescent="0.2">
      <c r="B95" s="120"/>
      <c r="C95" s="56" t="s">
        <v>328</v>
      </c>
      <c r="D95" s="56" t="s">
        <v>96</v>
      </c>
      <c r="E95" s="57" t="s">
        <v>401</v>
      </c>
      <c r="F95" s="58" t="s">
        <v>402</v>
      </c>
      <c r="G95" s="59" t="s">
        <v>201</v>
      </c>
      <c r="H95" s="60">
        <v>261.07</v>
      </c>
      <c r="I95" s="61">
        <v>169.77</v>
      </c>
      <c r="J95" s="60">
        <v>44321.9</v>
      </c>
      <c r="K95" s="68">
        <f t="shared" ref="K95:K96" si="18">ROUND(273.1/273.3*Q95-Q95,2)</f>
        <v>-0.2</v>
      </c>
      <c r="L95" s="69">
        <f t="shared" si="10"/>
        <v>169.77</v>
      </c>
      <c r="M95" s="273">
        <f t="shared" si="11"/>
        <v>-33.954000000000001</v>
      </c>
      <c r="N95" s="71">
        <f t="shared" si="12"/>
        <v>260.87</v>
      </c>
      <c r="O95" s="72">
        <f t="shared" si="13"/>
        <v>169.77</v>
      </c>
      <c r="P95" s="274">
        <f t="shared" si="14"/>
        <v>44287.899900000004</v>
      </c>
      <c r="Q95" s="237">
        <f t="shared" si="15"/>
        <v>275.55</v>
      </c>
    </row>
    <row r="96" spans="2:17" s="121" customFormat="1" ht="16.5" customHeight="1" x14ac:dyDescent="0.2">
      <c r="B96" s="120"/>
      <c r="C96" s="56" t="s">
        <v>331</v>
      </c>
      <c r="D96" s="56" t="s">
        <v>96</v>
      </c>
      <c r="E96" s="57" t="s">
        <v>404</v>
      </c>
      <c r="F96" s="58" t="s">
        <v>405</v>
      </c>
      <c r="G96" s="59" t="s">
        <v>201</v>
      </c>
      <c r="H96" s="60">
        <v>42.41</v>
      </c>
      <c r="I96" s="61">
        <v>154.66999999999999</v>
      </c>
      <c r="J96" s="60">
        <v>6559.6</v>
      </c>
      <c r="K96" s="68">
        <f t="shared" si="18"/>
        <v>-0.03</v>
      </c>
      <c r="L96" s="69">
        <f t="shared" si="10"/>
        <v>154.66999999999999</v>
      </c>
      <c r="M96" s="273">
        <f t="shared" si="11"/>
        <v>-4.6400999999999994</v>
      </c>
      <c r="N96" s="71">
        <f t="shared" si="12"/>
        <v>42.379999999999995</v>
      </c>
      <c r="O96" s="72">
        <f t="shared" si="13"/>
        <v>154.66999999999999</v>
      </c>
      <c r="P96" s="274">
        <f t="shared" si="14"/>
        <v>6554.9145999999992</v>
      </c>
      <c r="Q96" s="237">
        <f t="shared" si="15"/>
        <v>44.76</v>
      </c>
    </row>
    <row r="97" spans="2:17" s="121" customFormat="1" ht="16.5" customHeight="1" x14ac:dyDescent="0.2">
      <c r="B97" s="120"/>
      <c r="C97" s="56" t="s">
        <v>334</v>
      </c>
      <c r="D97" s="56" t="s">
        <v>96</v>
      </c>
      <c r="E97" s="57" t="s">
        <v>407</v>
      </c>
      <c r="F97" s="58" t="s">
        <v>408</v>
      </c>
      <c r="G97" s="59" t="s">
        <v>201</v>
      </c>
      <c r="H97" s="60">
        <v>120.51</v>
      </c>
      <c r="I97" s="61">
        <v>257.77999999999997</v>
      </c>
      <c r="J97" s="60">
        <v>31065.1</v>
      </c>
      <c r="K97" s="68">
        <v>0</v>
      </c>
      <c r="L97" s="69">
        <f t="shared" si="10"/>
        <v>257.77999999999997</v>
      </c>
      <c r="M97" s="273">
        <f t="shared" si="11"/>
        <v>0</v>
      </c>
      <c r="N97" s="71">
        <f t="shared" si="12"/>
        <v>120.51</v>
      </c>
      <c r="O97" s="72">
        <f t="shared" si="13"/>
        <v>257.77999999999997</v>
      </c>
      <c r="P97" s="274">
        <f t="shared" si="14"/>
        <v>31065.067799999997</v>
      </c>
      <c r="Q97" s="237">
        <f t="shared" si="15"/>
        <v>127.19</v>
      </c>
    </row>
    <row r="98" spans="2:17" s="121" customFormat="1" ht="16.5" customHeight="1" x14ac:dyDescent="0.2">
      <c r="B98" s="120"/>
      <c r="C98" s="56" t="s">
        <v>337</v>
      </c>
      <c r="D98" s="56" t="s">
        <v>96</v>
      </c>
      <c r="E98" s="57" t="s">
        <v>410</v>
      </c>
      <c r="F98" s="58" t="s">
        <v>411</v>
      </c>
      <c r="G98" s="59" t="s">
        <v>201</v>
      </c>
      <c r="H98" s="60">
        <v>97.12</v>
      </c>
      <c r="I98" s="61">
        <v>154.66999999999999</v>
      </c>
      <c r="J98" s="60">
        <v>15021.6</v>
      </c>
      <c r="K98" s="68">
        <f t="shared" ref="K98:K100" si="19">ROUND(273.1/273.3*Q98-Q98,2)</f>
        <v>-0.08</v>
      </c>
      <c r="L98" s="69">
        <f t="shared" si="10"/>
        <v>154.66999999999999</v>
      </c>
      <c r="M98" s="273">
        <f t="shared" si="11"/>
        <v>-12.3736</v>
      </c>
      <c r="N98" s="71">
        <f t="shared" si="12"/>
        <v>97.04</v>
      </c>
      <c r="O98" s="72">
        <f t="shared" si="13"/>
        <v>154.66999999999999</v>
      </c>
      <c r="P98" s="274">
        <f t="shared" si="14"/>
        <v>15009.176799999999</v>
      </c>
      <c r="Q98" s="237">
        <f t="shared" si="15"/>
        <v>102.51</v>
      </c>
    </row>
    <row r="99" spans="2:17" s="170" customFormat="1" ht="22.9" customHeight="1" x14ac:dyDescent="0.2">
      <c r="B99" s="165"/>
      <c r="C99" s="252"/>
      <c r="D99" s="253" t="s">
        <v>4</v>
      </c>
      <c r="E99" s="254" t="s">
        <v>412</v>
      </c>
      <c r="F99" s="254" t="s">
        <v>413</v>
      </c>
      <c r="G99" s="252"/>
      <c r="H99" s="252"/>
      <c r="I99" s="255"/>
      <c r="J99" s="256">
        <f>+SUBTOTAL(9,J100)</f>
        <v>98381.7</v>
      </c>
      <c r="K99" s="261"/>
      <c r="L99" s="262"/>
      <c r="M99" s="279">
        <f>M100</f>
        <v>-75.517200000000003</v>
      </c>
      <c r="N99" s="280"/>
      <c r="O99" s="262"/>
      <c r="P99" s="279">
        <f>P100</f>
        <v>98306.231400000004</v>
      </c>
      <c r="Q99" s="237">
        <f t="shared" si="15"/>
        <v>0</v>
      </c>
    </row>
    <row r="100" spans="2:17" s="121" customFormat="1" ht="16.5" customHeight="1" x14ac:dyDescent="0.2">
      <c r="B100" s="120"/>
      <c r="C100" s="56" t="s">
        <v>340</v>
      </c>
      <c r="D100" s="56" t="s">
        <v>96</v>
      </c>
      <c r="E100" s="57" t="s">
        <v>415</v>
      </c>
      <c r="F100" s="58" t="s">
        <v>416</v>
      </c>
      <c r="G100" s="59" t="s">
        <v>201</v>
      </c>
      <c r="H100" s="60">
        <v>859.83</v>
      </c>
      <c r="I100" s="61">
        <v>114.42</v>
      </c>
      <c r="J100" s="60">
        <v>98381.7</v>
      </c>
      <c r="K100" s="68">
        <f t="shared" si="19"/>
        <v>-0.66</v>
      </c>
      <c r="L100" s="69">
        <f t="shared" si="10"/>
        <v>114.42</v>
      </c>
      <c r="M100" s="273">
        <f t="shared" si="11"/>
        <v>-75.517200000000003</v>
      </c>
      <c r="N100" s="71">
        <f t="shared" si="12"/>
        <v>859.17000000000007</v>
      </c>
      <c r="O100" s="72">
        <f t="shared" si="13"/>
        <v>114.42</v>
      </c>
      <c r="P100" s="274">
        <f t="shared" si="14"/>
        <v>98306.231400000004</v>
      </c>
      <c r="Q100" s="237">
        <f t="shared" si="15"/>
        <v>907.51</v>
      </c>
    </row>
    <row r="101" spans="2:17" s="121" customFormat="1" ht="6.95" customHeight="1" x14ac:dyDescent="0.2">
      <c r="B101" s="120"/>
      <c r="C101" s="120"/>
      <c r="D101" s="120"/>
      <c r="E101" s="120"/>
      <c r="F101" s="120"/>
      <c r="G101" s="120"/>
      <c r="H101" s="120"/>
      <c r="I101" s="153"/>
      <c r="J101" s="120"/>
    </row>
    <row r="102" spans="2:17" ht="18" customHeight="1" x14ac:dyDescent="0.2">
      <c r="D102" s="42"/>
      <c r="E102" s="43" t="s">
        <v>883</v>
      </c>
      <c r="F102" s="44"/>
      <c r="G102" s="44"/>
      <c r="H102" s="45"/>
      <c r="I102" s="44"/>
      <c r="J102" s="46">
        <f>J12</f>
        <v>3017724.7000000007</v>
      </c>
      <c r="K102" s="49"/>
      <c r="L102" s="46"/>
      <c r="M102" s="281">
        <f>M99+M94+M91+M64+M56+M49+M46+M14</f>
        <v>-804.4974999999996</v>
      </c>
      <c r="N102" s="49"/>
      <c r="O102" s="46"/>
      <c r="P102" s="281">
        <f>P99+P94+P91+P64+P56+P49+P46+P14</f>
        <v>3016920.3664999995</v>
      </c>
    </row>
    <row r="103" spans="2:17" ht="12.75" x14ac:dyDescent="0.2">
      <c r="H103" s="50"/>
      <c r="I103" s="8"/>
      <c r="J103" s="9"/>
    </row>
    <row r="104" spans="2:17" ht="14.25" x14ac:dyDescent="0.2">
      <c r="E104" s="6" t="s">
        <v>849</v>
      </c>
      <c r="F104" s="6"/>
      <c r="G104" s="320" t="s">
        <v>1224</v>
      </c>
      <c r="H104" s="50"/>
      <c r="I104" s="8"/>
      <c r="J104" s="6"/>
      <c r="K104" s="6" t="s">
        <v>848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D9:H10" name="Oblast1_2_1"/>
  </protectedRanges>
  <autoFilter ref="C10:P100" xr:uid="{A5D0D5B5-16D6-4A73-9F7F-66F5001F6742}"/>
  <mergeCells count="2">
    <mergeCell ref="K9:M9"/>
    <mergeCell ref="N9:P9"/>
  </mergeCells>
  <pageMargins left="0.39370078740157483" right="0.39370078740157483" top="0.39370078740157483" bottom="0.39370078740157483" header="0" footer="0"/>
  <pageSetup paperSize="9" scale="57" fitToHeight="0" orientation="landscape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39</vt:i4>
      </vt:variant>
      <vt:variant>
        <vt:lpstr>Pojmenované oblasti</vt:lpstr>
      </vt:variant>
      <vt:variant>
        <vt:i4>44</vt:i4>
      </vt:variant>
    </vt:vector>
  </HeadingPairs>
  <TitlesOfParts>
    <vt:vector size="83" baseType="lpstr">
      <vt:lpstr>Rekapitulace stavby</vt:lpstr>
      <vt:lpstr>A - Stoka A</vt:lpstr>
      <vt:lpstr>A1 - Stoka A1</vt:lpstr>
      <vt:lpstr>A2 - Stoka A2</vt:lpstr>
      <vt:lpstr>A3 - Stoka A3</vt:lpstr>
      <vt:lpstr>A4 - Stoka A4</vt:lpstr>
      <vt:lpstr>A5 - Stoka A5</vt:lpstr>
      <vt:lpstr>A6 - Stoka A6</vt:lpstr>
      <vt:lpstr>A7 - Stoka A7</vt:lpstr>
      <vt:lpstr>A8 - Stoka A8</vt:lpstr>
      <vt:lpstr>A9 - Stoka A9</vt:lpstr>
      <vt:lpstr>B - Stoka B</vt:lpstr>
      <vt:lpstr>B1 - Stoka B1</vt:lpstr>
      <vt:lpstr>B1.1 - Stoka B1.1</vt:lpstr>
      <vt:lpstr>B2 - Stoka B2</vt:lpstr>
      <vt:lpstr>B3 - Stoka B3</vt:lpstr>
      <vt:lpstr>B3.1 - Stoka B3.1</vt:lpstr>
      <vt:lpstr>B4 - Stoka B4</vt:lpstr>
      <vt:lpstr>B5 - Stoka B5</vt:lpstr>
      <vt:lpstr>B6 - Stoka B6</vt:lpstr>
      <vt:lpstr>B7 - Stoka B7</vt:lpstr>
      <vt:lpstr>B8 - Stoka B8</vt:lpstr>
      <vt:lpstr>C - Stoka C</vt:lpstr>
      <vt:lpstr>C1 - Stoka C1</vt:lpstr>
      <vt:lpstr>C2 - Stoka C2</vt:lpstr>
      <vt:lpstr>C2.1 - Stoka C2.1</vt:lpstr>
      <vt:lpstr>C2.2 - Stoka C2.2</vt:lpstr>
      <vt:lpstr>C2.3 - Stoka C2.3</vt:lpstr>
      <vt:lpstr>C3 - Stoka C3</vt:lpstr>
      <vt:lpstr>C4 - Stoka C4</vt:lpstr>
      <vt:lpstr>D - Stoka D</vt:lpstr>
      <vt:lpstr>E - Stoka E</vt:lpstr>
      <vt:lpstr>V - Veřejná část gravitač...</vt:lpstr>
      <vt:lpstr>SO 03.1 - ČSe - stavební ...</vt:lpstr>
      <vt:lpstr>SO 03.2 - Výtlačný řad Ve</vt:lpstr>
      <vt:lpstr>SO 03.3 - ČSe - přípojka nn</vt:lpstr>
      <vt:lpstr>PS 03.1 - ČSe - elektrote...</vt:lpstr>
      <vt:lpstr>PS 03.2 - ČSe - strojně -...</vt:lpstr>
      <vt:lpstr>VN - Vedlejší a ostatní n...</vt:lpstr>
      <vt:lpstr>'A - Stoka A'!Názvy_tisku</vt:lpstr>
      <vt:lpstr>'A3 - Stoka A3'!Názvy_tisku</vt:lpstr>
      <vt:lpstr>'B - Stoka B'!Názvy_tisku</vt:lpstr>
      <vt:lpstr>'B4 - Stoka B4'!Názvy_tisku</vt:lpstr>
      <vt:lpstr>'Rekapitulace stavby'!Názvy_tisku</vt:lpstr>
      <vt:lpstr>'A - Stoka A'!Oblast_tisku</vt:lpstr>
      <vt:lpstr>'A1 - Stoka A1'!Oblast_tisku</vt:lpstr>
      <vt:lpstr>'A2 - Stoka A2'!Oblast_tisku</vt:lpstr>
      <vt:lpstr>'A3 - Stoka A3'!Oblast_tisku</vt:lpstr>
      <vt:lpstr>'A4 - Stoka A4'!Oblast_tisku</vt:lpstr>
      <vt:lpstr>'A5 - Stoka A5'!Oblast_tisku</vt:lpstr>
      <vt:lpstr>'A6 - Stoka A6'!Oblast_tisku</vt:lpstr>
      <vt:lpstr>'A7 - Stoka A7'!Oblast_tisku</vt:lpstr>
      <vt:lpstr>'A8 - Stoka A8'!Oblast_tisku</vt:lpstr>
      <vt:lpstr>'A9 - Stoka A9'!Oblast_tisku</vt:lpstr>
      <vt:lpstr>'B - Stoka B'!Oblast_tisku</vt:lpstr>
      <vt:lpstr>'B1 - Stoka B1'!Oblast_tisku</vt:lpstr>
      <vt:lpstr>'B1.1 - Stoka B1.1'!Oblast_tisku</vt:lpstr>
      <vt:lpstr>'B2 - Stoka B2'!Oblast_tisku</vt:lpstr>
      <vt:lpstr>'B3 - Stoka B3'!Oblast_tisku</vt:lpstr>
      <vt:lpstr>'B3.1 - Stoka B3.1'!Oblast_tisku</vt:lpstr>
      <vt:lpstr>'B4 - Stoka B4'!Oblast_tisku</vt:lpstr>
      <vt:lpstr>'B5 - Stoka B5'!Oblast_tisku</vt:lpstr>
      <vt:lpstr>'B6 - Stoka B6'!Oblast_tisku</vt:lpstr>
      <vt:lpstr>'B7 - Stoka B7'!Oblast_tisku</vt:lpstr>
      <vt:lpstr>'B8 - Stoka B8'!Oblast_tisku</vt:lpstr>
      <vt:lpstr>'C - Stoka C'!Oblast_tisku</vt:lpstr>
      <vt:lpstr>'C1 - Stoka C1'!Oblast_tisku</vt:lpstr>
      <vt:lpstr>'C2 - Stoka C2'!Oblast_tisku</vt:lpstr>
      <vt:lpstr>'C2.1 - Stoka C2.1'!Oblast_tisku</vt:lpstr>
      <vt:lpstr>'C2.2 - Stoka C2.2'!Oblast_tisku</vt:lpstr>
      <vt:lpstr>'C2.3 - Stoka C2.3'!Oblast_tisku</vt:lpstr>
      <vt:lpstr>'C3 - Stoka C3'!Oblast_tisku</vt:lpstr>
      <vt:lpstr>'C4 - Stoka C4'!Oblast_tisku</vt:lpstr>
      <vt:lpstr>'D - Stoka D'!Oblast_tisku</vt:lpstr>
      <vt:lpstr>'E - Stoka E'!Oblast_tisku</vt:lpstr>
      <vt:lpstr>'PS 03.1 - ČSe - elektrote...'!Oblast_tisku</vt:lpstr>
      <vt:lpstr>'PS 03.2 - ČSe - strojně -...'!Oblast_tisku</vt:lpstr>
      <vt:lpstr>'Rekapitulace stavby'!Oblast_tisku</vt:lpstr>
      <vt:lpstr>'SO 03.1 - ČSe - stavební ...'!Oblast_tisku</vt:lpstr>
      <vt:lpstr>'SO 03.2 - Výtlačný řad Ve'!Oblast_tisku</vt:lpstr>
      <vt:lpstr>'SO 03.3 - ČSe - přípojka nn'!Oblast_tisku</vt:lpstr>
      <vt:lpstr>'V - Veřejná část gravitač...'!Oblast_tisku</vt:lpstr>
      <vt:lpstr>'VN - Vedlejší a ostatní 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DELL-BOOK\Jiří</dc:creator>
  <cp:lastModifiedBy>ANTALOVÁ, Zdena</cp:lastModifiedBy>
  <cp:lastPrinted>2023-01-10T10:53:22Z</cp:lastPrinted>
  <dcterms:created xsi:type="dcterms:W3CDTF">2019-02-06T14:55:51Z</dcterms:created>
  <dcterms:modified xsi:type="dcterms:W3CDTF">2023-02-02T09:08:14Z</dcterms:modified>
</cp:coreProperties>
</file>